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za\Desktop\Ongoing projects\Lafourche subsidence manuscript\JGR - ES\"/>
    </mc:Choice>
  </mc:AlternateContent>
  <xr:revisionPtr revIDLastSave="0" documentId="13_ncr:1_{E2C3450B-DDC2-488C-AF6C-C45B772476D0}" xr6:coauthVersionLast="46" xr6:coauthVersionMax="46" xr10:uidLastSave="{00000000-0000-0000-0000-000000000000}"/>
  <bookViews>
    <workbookView xWindow="-110" yWindow="-110" windowWidth="19420" windowHeight="10420" tabRatio="851" firstSheet="1" activeTab="10" xr2:uid="{00000000-000D-0000-FFFF-FFFF00000000}"/>
  </bookViews>
  <sheets>
    <sheet name="St. Charles" sheetId="11" r:id="rId1"/>
    <sheet name="Raceland" sheetId="3" r:id="rId2"/>
    <sheet name="Larose" sheetId="4" r:id="rId3"/>
    <sheet name="Galliano" sheetId="5" r:id="rId4"/>
    <sheet name="Golden Meadow" sheetId="6" r:id="rId5"/>
    <sheet name="Fourchon" sheetId="7" r:id="rId6"/>
    <sheet name="Bayou Cane" sheetId="12" r:id="rId7"/>
    <sheet name="Dulac" sheetId="13" r:id="rId8"/>
    <sheet name="Chauvin" sheetId="14" r:id="rId9"/>
    <sheet name="Cocodrie" sheetId="15" r:id="rId10"/>
    <sheet name="Paincourtville" sheetId="23" r:id="rId11"/>
    <sheet name="References" sheetId="2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5" l="1"/>
  <c r="O5" i="15"/>
  <c r="O3" i="15"/>
  <c r="O4" i="14"/>
  <c r="O5" i="14"/>
  <c r="O6" i="14"/>
  <c r="O7" i="14"/>
  <c r="O8" i="14"/>
  <c r="O3" i="14"/>
  <c r="O4" i="13"/>
  <c r="O5" i="13"/>
  <c r="O6" i="13"/>
  <c r="O7" i="13"/>
  <c r="O8" i="13"/>
  <c r="O9" i="13"/>
  <c r="O3" i="13"/>
  <c r="O5" i="12"/>
  <c r="O6" i="12"/>
  <c r="O7" i="12"/>
  <c r="O4" i="12"/>
  <c r="S4" i="7"/>
  <c r="S5" i="7"/>
  <c r="S3" i="7"/>
  <c r="N4" i="6"/>
  <c r="O4" i="6"/>
  <c r="O5" i="6"/>
  <c r="O6" i="6"/>
  <c r="N7" i="6"/>
  <c r="O7" i="6"/>
  <c r="O8" i="6"/>
  <c r="O9" i="6"/>
  <c r="O10" i="6"/>
  <c r="O3" i="6"/>
  <c r="O4" i="5"/>
  <c r="O5" i="5"/>
  <c r="N6" i="5"/>
  <c r="O6" i="5"/>
  <c r="N7" i="5"/>
  <c r="O7" i="5"/>
  <c r="N8" i="5"/>
  <c r="O8" i="5"/>
  <c r="O9" i="5"/>
  <c r="O10" i="5"/>
  <c r="O11" i="5"/>
  <c r="O12" i="5"/>
  <c r="O13" i="5"/>
  <c r="O14" i="5"/>
  <c r="O3" i="5"/>
  <c r="N3" i="5"/>
  <c r="O4" i="4"/>
  <c r="O5" i="4"/>
  <c r="O6" i="4"/>
  <c r="O7" i="4"/>
  <c r="O8" i="4"/>
  <c r="O9" i="4"/>
  <c r="O3" i="4"/>
  <c r="C19" i="15"/>
  <c r="N4" i="15" s="1"/>
  <c r="C21" i="14"/>
  <c r="N5" i="14" s="1"/>
  <c r="C22" i="13"/>
  <c r="N7" i="13" s="1"/>
  <c r="C21" i="12"/>
  <c r="N4" i="12" s="1"/>
  <c r="C18" i="7"/>
  <c r="R4" i="7" s="1"/>
  <c r="C23" i="6"/>
  <c r="N9" i="6" s="1"/>
  <c r="C27" i="5"/>
  <c r="N9" i="5" s="1"/>
  <c r="C22" i="4"/>
  <c r="N5" i="4" s="1"/>
  <c r="O4" i="3"/>
  <c r="N5" i="3"/>
  <c r="O5" i="3"/>
  <c r="O6" i="3"/>
  <c r="O7" i="3"/>
  <c r="O8" i="3"/>
  <c r="O3" i="3"/>
  <c r="C21" i="3"/>
  <c r="N4" i="3" s="1"/>
  <c r="C127" i="23"/>
  <c r="O4" i="11"/>
  <c r="O5" i="11"/>
  <c r="O6" i="11"/>
  <c r="O7" i="11"/>
  <c r="O8" i="11"/>
  <c r="O9" i="11"/>
  <c r="O3" i="11"/>
  <c r="N3" i="14" l="1"/>
  <c r="N7" i="12"/>
  <c r="R3" i="7"/>
  <c r="N3" i="6"/>
  <c r="N14" i="5"/>
  <c r="N5" i="5"/>
  <c r="N12" i="5"/>
  <c r="N4" i="5"/>
  <c r="N11" i="5"/>
  <c r="N13" i="5"/>
  <c r="N9" i="4"/>
  <c r="N7" i="4"/>
  <c r="N8" i="4"/>
  <c r="N7" i="3"/>
  <c r="N6" i="3"/>
  <c r="N3" i="3"/>
  <c r="N4" i="4"/>
  <c r="N8" i="6"/>
  <c r="N6" i="13"/>
  <c r="N4" i="14"/>
  <c r="N3" i="15"/>
  <c r="N5" i="13"/>
  <c r="N8" i="3"/>
  <c r="N3" i="4"/>
  <c r="N6" i="6"/>
  <c r="N6" i="12"/>
  <c r="N4" i="13"/>
  <c r="N5" i="15"/>
  <c r="N5" i="6"/>
  <c r="N5" i="12"/>
  <c r="N3" i="13"/>
  <c r="N8" i="14"/>
  <c r="N9" i="13"/>
  <c r="N7" i="14"/>
  <c r="N6" i="4"/>
  <c r="N10" i="5"/>
  <c r="N10" i="6"/>
  <c r="R5" i="7"/>
  <c r="N8" i="13"/>
  <c r="N6" i="14"/>
  <c r="C119" i="23"/>
  <c r="C22" i="11"/>
  <c r="N9" i="11" l="1"/>
  <c r="N3" i="11"/>
  <c r="N4" i="11"/>
  <c r="N5" i="11"/>
  <c r="N6" i="11"/>
  <c r="N7" i="11"/>
  <c r="N8" i="11"/>
  <c r="G14" i="5"/>
  <c r="H14" i="5" s="1"/>
  <c r="I14" i="5" s="1"/>
  <c r="J14" i="5"/>
  <c r="I6" i="23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3" i="23"/>
  <c r="I54" i="23"/>
  <c r="I55" i="23"/>
  <c r="I56" i="23"/>
  <c r="I57" i="23"/>
  <c r="I58" i="23"/>
  <c r="I59" i="23"/>
  <c r="I60" i="23"/>
  <c r="I61" i="23"/>
  <c r="I62" i="23"/>
  <c r="I63" i="23"/>
  <c r="I64" i="23"/>
  <c r="I65" i="23"/>
  <c r="I66" i="23"/>
  <c r="I67" i="23"/>
  <c r="I68" i="23"/>
  <c r="I69" i="23"/>
  <c r="I70" i="23"/>
  <c r="I71" i="23"/>
  <c r="I72" i="23"/>
  <c r="I73" i="23"/>
  <c r="I74" i="23"/>
  <c r="I75" i="23"/>
  <c r="I76" i="23"/>
  <c r="I77" i="23"/>
  <c r="I78" i="23"/>
  <c r="I79" i="23"/>
  <c r="I80" i="23"/>
  <c r="I81" i="23"/>
  <c r="I82" i="23"/>
  <c r="I83" i="23"/>
  <c r="I84" i="23"/>
  <c r="I85" i="23"/>
  <c r="I86" i="23"/>
  <c r="I87" i="23"/>
  <c r="I88" i="23"/>
  <c r="I89" i="23"/>
  <c r="I90" i="23"/>
  <c r="I91" i="23"/>
  <c r="I92" i="23"/>
  <c r="I93" i="23"/>
  <c r="I94" i="23"/>
  <c r="I95" i="23"/>
  <c r="I96" i="23"/>
  <c r="I97" i="23"/>
  <c r="I98" i="23"/>
  <c r="I99" i="23"/>
  <c r="I100" i="23"/>
  <c r="I101" i="23"/>
  <c r="I102" i="23"/>
  <c r="I103" i="23"/>
  <c r="I104" i="23"/>
  <c r="I105" i="23"/>
  <c r="F6" i="23"/>
  <c r="G6" i="23" s="1"/>
  <c r="H6" i="23" s="1"/>
  <c r="F7" i="23"/>
  <c r="G7" i="23" s="1"/>
  <c r="H7" i="23" s="1"/>
  <c r="F8" i="23"/>
  <c r="G8" i="23" s="1"/>
  <c r="H8" i="23" s="1"/>
  <c r="F9" i="23"/>
  <c r="G9" i="23" s="1"/>
  <c r="H9" i="23" s="1"/>
  <c r="F10" i="23"/>
  <c r="G10" i="23" s="1"/>
  <c r="H10" i="23" s="1"/>
  <c r="F11" i="23"/>
  <c r="G11" i="23" s="1"/>
  <c r="H11" i="23" s="1"/>
  <c r="F12" i="23"/>
  <c r="G12" i="23" s="1"/>
  <c r="H12" i="23" s="1"/>
  <c r="F13" i="23"/>
  <c r="G13" i="23" s="1"/>
  <c r="H13" i="23" s="1"/>
  <c r="F14" i="23"/>
  <c r="G14" i="23" s="1"/>
  <c r="H14" i="23" s="1"/>
  <c r="F15" i="23"/>
  <c r="G15" i="23" s="1"/>
  <c r="H15" i="23" s="1"/>
  <c r="F16" i="23"/>
  <c r="G16" i="23" s="1"/>
  <c r="H16" i="23" s="1"/>
  <c r="F17" i="23"/>
  <c r="G17" i="23" s="1"/>
  <c r="H17" i="23" s="1"/>
  <c r="F18" i="23"/>
  <c r="G18" i="23" s="1"/>
  <c r="H18" i="23" s="1"/>
  <c r="F19" i="23"/>
  <c r="G19" i="23" s="1"/>
  <c r="H19" i="23" s="1"/>
  <c r="F20" i="23"/>
  <c r="G20" i="23" s="1"/>
  <c r="H20" i="23" s="1"/>
  <c r="F21" i="23"/>
  <c r="G21" i="23" s="1"/>
  <c r="H21" i="23" s="1"/>
  <c r="F22" i="23"/>
  <c r="G22" i="23" s="1"/>
  <c r="H22" i="23" s="1"/>
  <c r="F23" i="23"/>
  <c r="G23" i="23" s="1"/>
  <c r="H23" i="23" s="1"/>
  <c r="F24" i="23"/>
  <c r="G24" i="23" s="1"/>
  <c r="H24" i="23" s="1"/>
  <c r="F25" i="23"/>
  <c r="G25" i="23" s="1"/>
  <c r="H25" i="23" s="1"/>
  <c r="F26" i="23"/>
  <c r="G26" i="23" s="1"/>
  <c r="H26" i="23" s="1"/>
  <c r="F27" i="23"/>
  <c r="G27" i="23" s="1"/>
  <c r="H27" i="23" s="1"/>
  <c r="F28" i="23"/>
  <c r="G28" i="23" s="1"/>
  <c r="H28" i="23" s="1"/>
  <c r="F29" i="23"/>
  <c r="G29" i="23" s="1"/>
  <c r="H29" i="23" s="1"/>
  <c r="F30" i="23"/>
  <c r="G30" i="23" s="1"/>
  <c r="H30" i="23" s="1"/>
  <c r="F31" i="23"/>
  <c r="G31" i="23" s="1"/>
  <c r="H31" i="23" s="1"/>
  <c r="F32" i="23"/>
  <c r="G32" i="23" s="1"/>
  <c r="H32" i="23" s="1"/>
  <c r="F33" i="23"/>
  <c r="G33" i="23" s="1"/>
  <c r="H33" i="23" s="1"/>
  <c r="F34" i="23"/>
  <c r="G34" i="23" s="1"/>
  <c r="H34" i="23" s="1"/>
  <c r="F35" i="23"/>
  <c r="G35" i="23" s="1"/>
  <c r="H35" i="23" s="1"/>
  <c r="F36" i="23"/>
  <c r="G36" i="23" s="1"/>
  <c r="H36" i="23" s="1"/>
  <c r="F37" i="23"/>
  <c r="G37" i="23" s="1"/>
  <c r="H37" i="23" s="1"/>
  <c r="F38" i="23"/>
  <c r="G38" i="23" s="1"/>
  <c r="H38" i="23" s="1"/>
  <c r="F39" i="23"/>
  <c r="G39" i="23" s="1"/>
  <c r="H39" i="23" s="1"/>
  <c r="F40" i="23"/>
  <c r="G40" i="23" s="1"/>
  <c r="H40" i="23" s="1"/>
  <c r="F41" i="23"/>
  <c r="G41" i="23" s="1"/>
  <c r="H41" i="23" s="1"/>
  <c r="F42" i="23"/>
  <c r="G42" i="23" s="1"/>
  <c r="H42" i="23" s="1"/>
  <c r="F43" i="23"/>
  <c r="G43" i="23" s="1"/>
  <c r="H43" i="23" s="1"/>
  <c r="F44" i="23"/>
  <c r="G44" i="23" s="1"/>
  <c r="H44" i="23" s="1"/>
  <c r="F45" i="23"/>
  <c r="G45" i="23" s="1"/>
  <c r="H45" i="23" s="1"/>
  <c r="F46" i="23"/>
  <c r="G46" i="23" s="1"/>
  <c r="H46" i="23" s="1"/>
  <c r="F47" i="23"/>
  <c r="G47" i="23" s="1"/>
  <c r="H47" i="23" s="1"/>
  <c r="F48" i="23"/>
  <c r="G48" i="23" s="1"/>
  <c r="H48" i="23" s="1"/>
  <c r="F49" i="23"/>
  <c r="G49" i="23" s="1"/>
  <c r="H49" i="23" s="1"/>
  <c r="F50" i="23"/>
  <c r="G50" i="23" s="1"/>
  <c r="H50" i="23" s="1"/>
  <c r="F51" i="23"/>
  <c r="G51" i="23" s="1"/>
  <c r="H51" i="23" s="1"/>
  <c r="F52" i="23"/>
  <c r="G52" i="23" s="1"/>
  <c r="H52" i="23" s="1"/>
  <c r="F53" i="23"/>
  <c r="G53" i="23" s="1"/>
  <c r="H53" i="23" s="1"/>
  <c r="F54" i="23"/>
  <c r="G54" i="23" s="1"/>
  <c r="H54" i="23" s="1"/>
  <c r="F55" i="23"/>
  <c r="G55" i="23" s="1"/>
  <c r="H55" i="23" s="1"/>
  <c r="F56" i="23"/>
  <c r="G56" i="23" s="1"/>
  <c r="H56" i="23" s="1"/>
  <c r="F57" i="23"/>
  <c r="G57" i="23" s="1"/>
  <c r="H57" i="23" s="1"/>
  <c r="F58" i="23"/>
  <c r="G58" i="23" s="1"/>
  <c r="H58" i="23" s="1"/>
  <c r="F59" i="23"/>
  <c r="G59" i="23" s="1"/>
  <c r="H59" i="23" s="1"/>
  <c r="F60" i="23"/>
  <c r="G60" i="23" s="1"/>
  <c r="H60" i="23" s="1"/>
  <c r="F61" i="23"/>
  <c r="G61" i="23" s="1"/>
  <c r="H61" i="23" s="1"/>
  <c r="F62" i="23"/>
  <c r="G62" i="23" s="1"/>
  <c r="H62" i="23" s="1"/>
  <c r="F63" i="23"/>
  <c r="G63" i="23" s="1"/>
  <c r="H63" i="23" s="1"/>
  <c r="F64" i="23"/>
  <c r="G64" i="23" s="1"/>
  <c r="H64" i="23" s="1"/>
  <c r="F65" i="23"/>
  <c r="G65" i="23" s="1"/>
  <c r="H65" i="23" s="1"/>
  <c r="F66" i="23"/>
  <c r="G66" i="23" s="1"/>
  <c r="H66" i="23" s="1"/>
  <c r="F67" i="23"/>
  <c r="G67" i="23" s="1"/>
  <c r="H67" i="23" s="1"/>
  <c r="F68" i="23"/>
  <c r="G68" i="23" s="1"/>
  <c r="H68" i="23" s="1"/>
  <c r="F69" i="23"/>
  <c r="G69" i="23" s="1"/>
  <c r="H69" i="23" s="1"/>
  <c r="F70" i="23"/>
  <c r="G70" i="23" s="1"/>
  <c r="H70" i="23" s="1"/>
  <c r="F71" i="23"/>
  <c r="G71" i="23" s="1"/>
  <c r="H71" i="23" s="1"/>
  <c r="F72" i="23"/>
  <c r="G72" i="23" s="1"/>
  <c r="H72" i="23" s="1"/>
  <c r="F73" i="23"/>
  <c r="G73" i="23" s="1"/>
  <c r="H73" i="23" s="1"/>
  <c r="F74" i="23"/>
  <c r="G74" i="23" s="1"/>
  <c r="H74" i="23" s="1"/>
  <c r="F75" i="23"/>
  <c r="G75" i="23" s="1"/>
  <c r="H75" i="23" s="1"/>
  <c r="F76" i="23"/>
  <c r="G76" i="23" s="1"/>
  <c r="H76" i="23" s="1"/>
  <c r="F77" i="23"/>
  <c r="G77" i="23" s="1"/>
  <c r="H77" i="23" s="1"/>
  <c r="F78" i="23"/>
  <c r="G78" i="23" s="1"/>
  <c r="H78" i="23" s="1"/>
  <c r="F79" i="23"/>
  <c r="G79" i="23" s="1"/>
  <c r="H79" i="23" s="1"/>
  <c r="F80" i="23"/>
  <c r="G80" i="23" s="1"/>
  <c r="H80" i="23" s="1"/>
  <c r="F81" i="23"/>
  <c r="G81" i="23" s="1"/>
  <c r="H81" i="23" s="1"/>
  <c r="F82" i="23"/>
  <c r="G82" i="23" s="1"/>
  <c r="H82" i="23" s="1"/>
  <c r="F83" i="23"/>
  <c r="G83" i="23" s="1"/>
  <c r="H83" i="23" s="1"/>
  <c r="F84" i="23"/>
  <c r="G84" i="23" s="1"/>
  <c r="H84" i="23" s="1"/>
  <c r="F85" i="23"/>
  <c r="G85" i="23" s="1"/>
  <c r="H85" i="23" s="1"/>
  <c r="F86" i="23"/>
  <c r="G86" i="23" s="1"/>
  <c r="H86" i="23" s="1"/>
  <c r="F87" i="23"/>
  <c r="G87" i="23" s="1"/>
  <c r="H87" i="23" s="1"/>
  <c r="F88" i="23"/>
  <c r="G88" i="23" s="1"/>
  <c r="H88" i="23" s="1"/>
  <c r="F89" i="23"/>
  <c r="G89" i="23" s="1"/>
  <c r="H89" i="23" s="1"/>
  <c r="F90" i="23"/>
  <c r="G90" i="23" s="1"/>
  <c r="H90" i="23" s="1"/>
  <c r="F91" i="23"/>
  <c r="G91" i="23" s="1"/>
  <c r="H91" i="23" s="1"/>
  <c r="F92" i="23"/>
  <c r="G92" i="23" s="1"/>
  <c r="H92" i="23" s="1"/>
  <c r="F93" i="23"/>
  <c r="G93" i="23" s="1"/>
  <c r="H93" i="23" s="1"/>
  <c r="F94" i="23"/>
  <c r="G94" i="23" s="1"/>
  <c r="H94" i="23" s="1"/>
  <c r="F95" i="23"/>
  <c r="G95" i="23" s="1"/>
  <c r="H95" i="23" s="1"/>
  <c r="F96" i="23"/>
  <c r="G96" i="23" s="1"/>
  <c r="H96" i="23" s="1"/>
  <c r="F97" i="23"/>
  <c r="G97" i="23" s="1"/>
  <c r="H97" i="23" s="1"/>
  <c r="F98" i="23"/>
  <c r="G98" i="23" s="1"/>
  <c r="H98" i="23" s="1"/>
  <c r="F99" i="23"/>
  <c r="G99" i="23" s="1"/>
  <c r="H99" i="23" s="1"/>
  <c r="F100" i="23"/>
  <c r="G100" i="23" s="1"/>
  <c r="H100" i="23" s="1"/>
  <c r="F101" i="23"/>
  <c r="G101" i="23" s="1"/>
  <c r="H101" i="23" s="1"/>
  <c r="F102" i="23"/>
  <c r="G102" i="23" s="1"/>
  <c r="H102" i="23" s="1"/>
  <c r="F103" i="23"/>
  <c r="G103" i="23" s="1"/>
  <c r="H103" i="23" s="1"/>
  <c r="F104" i="23"/>
  <c r="G104" i="23" s="1"/>
  <c r="H104" i="23" s="1"/>
  <c r="F105" i="23"/>
  <c r="G105" i="23" s="1"/>
  <c r="H105" i="23" s="1"/>
  <c r="C128" i="23" l="1"/>
  <c r="C117" i="23" s="1"/>
  <c r="C116" i="23"/>
  <c r="P14" i="5"/>
  <c r="K14" i="5"/>
  <c r="L14" i="5" s="1"/>
  <c r="J102" i="23"/>
  <c r="K102" i="23" s="1"/>
  <c r="J98" i="23"/>
  <c r="K98" i="23" s="1"/>
  <c r="J94" i="23"/>
  <c r="K94" i="23" s="1"/>
  <c r="J90" i="23"/>
  <c r="K90" i="23" s="1"/>
  <c r="J86" i="23"/>
  <c r="K86" i="23" s="1"/>
  <c r="J82" i="23"/>
  <c r="K82" i="23" s="1"/>
  <c r="J78" i="23"/>
  <c r="K78" i="23" s="1"/>
  <c r="J74" i="23"/>
  <c r="K74" i="23" s="1"/>
  <c r="J70" i="23"/>
  <c r="K70" i="23" s="1"/>
  <c r="J66" i="23"/>
  <c r="K66" i="23" s="1"/>
  <c r="J62" i="23"/>
  <c r="K62" i="23" s="1"/>
  <c r="J58" i="23"/>
  <c r="K58" i="23" s="1"/>
  <c r="J54" i="23"/>
  <c r="K54" i="23" s="1"/>
  <c r="J50" i="23"/>
  <c r="K50" i="23" s="1"/>
  <c r="J46" i="23"/>
  <c r="K46" i="23" s="1"/>
  <c r="J42" i="23"/>
  <c r="K42" i="23" s="1"/>
  <c r="J38" i="23"/>
  <c r="K38" i="23" s="1"/>
  <c r="J34" i="23"/>
  <c r="K34" i="23" s="1"/>
  <c r="J30" i="23"/>
  <c r="K30" i="23" s="1"/>
  <c r="J26" i="23"/>
  <c r="K26" i="23" s="1"/>
  <c r="J22" i="23"/>
  <c r="K22" i="23" s="1"/>
  <c r="J18" i="23"/>
  <c r="K18" i="23" s="1"/>
  <c r="J14" i="23"/>
  <c r="K14" i="23" s="1"/>
  <c r="J10" i="23"/>
  <c r="K10" i="23" s="1"/>
  <c r="J6" i="23"/>
  <c r="K6" i="23" s="1"/>
  <c r="J103" i="23"/>
  <c r="K103" i="23" s="1"/>
  <c r="J99" i="23"/>
  <c r="K99" i="23" s="1"/>
  <c r="J95" i="23"/>
  <c r="K95" i="23" s="1"/>
  <c r="J91" i="23"/>
  <c r="K91" i="23" s="1"/>
  <c r="J87" i="23"/>
  <c r="K87" i="23" s="1"/>
  <c r="J83" i="23"/>
  <c r="K83" i="23" s="1"/>
  <c r="J79" i="23"/>
  <c r="K79" i="23" s="1"/>
  <c r="J75" i="23"/>
  <c r="K75" i="23" s="1"/>
  <c r="J71" i="23"/>
  <c r="K71" i="23" s="1"/>
  <c r="J67" i="23"/>
  <c r="K67" i="23" s="1"/>
  <c r="J63" i="23"/>
  <c r="K63" i="23" s="1"/>
  <c r="J59" i="23"/>
  <c r="K59" i="23" s="1"/>
  <c r="J55" i="23"/>
  <c r="K55" i="23" s="1"/>
  <c r="J51" i="23"/>
  <c r="K51" i="23" s="1"/>
  <c r="J47" i="23"/>
  <c r="K47" i="23" s="1"/>
  <c r="J43" i="23"/>
  <c r="K43" i="23" s="1"/>
  <c r="J39" i="23"/>
  <c r="K39" i="23" s="1"/>
  <c r="J35" i="23"/>
  <c r="K35" i="23" s="1"/>
  <c r="J31" i="23"/>
  <c r="K31" i="23" s="1"/>
  <c r="J27" i="23"/>
  <c r="K27" i="23" s="1"/>
  <c r="J23" i="23"/>
  <c r="K23" i="23" s="1"/>
  <c r="J19" i="23"/>
  <c r="K19" i="23" s="1"/>
  <c r="J15" i="23"/>
  <c r="K15" i="23" s="1"/>
  <c r="J11" i="23"/>
  <c r="K11" i="23" s="1"/>
  <c r="J7" i="23"/>
  <c r="K7" i="23" s="1"/>
  <c r="J104" i="23"/>
  <c r="K104" i="23" s="1"/>
  <c r="J100" i="23"/>
  <c r="K100" i="23" s="1"/>
  <c r="J96" i="23"/>
  <c r="K96" i="23" s="1"/>
  <c r="J92" i="23"/>
  <c r="K92" i="23" s="1"/>
  <c r="J88" i="23"/>
  <c r="K88" i="23" s="1"/>
  <c r="J84" i="23"/>
  <c r="K84" i="23" s="1"/>
  <c r="J80" i="23"/>
  <c r="K80" i="23" s="1"/>
  <c r="J76" i="23"/>
  <c r="K76" i="23" s="1"/>
  <c r="J72" i="23"/>
  <c r="K72" i="23" s="1"/>
  <c r="J68" i="23"/>
  <c r="K68" i="23" s="1"/>
  <c r="J64" i="23"/>
  <c r="K64" i="23" s="1"/>
  <c r="J60" i="23"/>
  <c r="K60" i="23" s="1"/>
  <c r="J56" i="23"/>
  <c r="K56" i="23" s="1"/>
  <c r="J52" i="23"/>
  <c r="K52" i="23" s="1"/>
  <c r="J48" i="23"/>
  <c r="K48" i="23" s="1"/>
  <c r="J44" i="23"/>
  <c r="K44" i="23" s="1"/>
  <c r="J40" i="23"/>
  <c r="K40" i="23" s="1"/>
  <c r="J36" i="23"/>
  <c r="K36" i="23" s="1"/>
  <c r="J32" i="23"/>
  <c r="K32" i="23" s="1"/>
  <c r="J28" i="23"/>
  <c r="K28" i="23" s="1"/>
  <c r="J24" i="23"/>
  <c r="K24" i="23" s="1"/>
  <c r="J20" i="23"/>
  <c r="K20" i="23" s="1"/>
  <c r="J16" i="23"/>
  <c r="K16" i="23" s="1"/>
  <c r="J12" i="23"/>
  <c r="K12" i="23" s="1"/>
  <c r="J8" i="23"/>
  <c r="K8" i="23" s="1"/>
  <c r="J105" i="23"/>
  <c r="K105" i="23" s="1"/>
  <c r="J101" i="23"/>
  <c r="K101" i="23" s="1"/>
  <c r="J97" i="23"/>
  <c r="K97" i="23" s="1"/>
  <c r="J93" i="23"/>
  <c r="K93" i="23" s="1"/>
  <c r="J89" i="23"/>
  <c r="K89" i="23" s="1"/>
  <c r="J85" i="23"/>
  <c r="K85" i="23" s="1"/>
  <c r="J81" i="23"/>
  <c r="K81" i="23" s="1"/>
  <c r="J77" i="23"/>
  <c r="K77" i="23" s="1"/>
  <c r="J73" i="23"/>
  <c r="K73" i="23" s="1"/>
  <c r="J69" i="23"/>
  <c r="K69" i="23" s="1"/>
  <c r="J65" i="23"/>
  <c r="K65" i="23" s="1"/>
  <c r="J61" i="23"/>
  <c r="K61" i="23" s="1"/>
  <c r="J57" i="23"/>
  <c r="K57" i="23" s="1"/>
  <c r="J53" i="23"/>
  <c r="K53" i="23" s="1"/>
  <c r="J49" i="23"/>
  <c r="K49" i="23" s="1"/>
  <c r="J45" i="23"/>
  <c r="K45" i="23" s="1"/>
  <c r="J41" i="23"/>
  <c r="K41" i="23" s="1"/>
  <c r="J37" i="23"/>
  <c r="K37" i="23" s="1"/>
  <c r="J33" i="23"/>
  <c r="K33" i="23" s="1"/>
  <c r="J29" i="23"/>
  <c r="K29" i="23" s="1"/>
  <c r="J25" i="23"/>
  <c r="K25" i="23" s="1"/>
  <c r="J21" i="23"/>
  <c r="K21" i="23" s="1"/>
  <c r="J17" i="23"/>
  <c r="K17" i="23" s="1"/>
  <c r="J13" i="23"/>
  <c r="K13" i="23" s="1"/>
  <c r="J9" i="23"/>
  <c r="K9" i="23" s="1"/>
  <c r="F4" i="23"/>
  <c r="G4" i="23" s="1"/>
  <c r="H4" i="23" s="1"/>
  <c r="I3" i="23"/>
  <c r="F5" i="23"/>
  <c r="G5" i="23" s="1"/>
  <c r="H5" i="23" s="1"/>
  <c r="I5" i="23"/>
  <c r="J5" i="23" s="1"/>
  <c r="F3" i="23"/>
  <c r="C109" i="23" s="1"/>
  <c r="M4" i="23" l="1"/>
  <c r="M20" i="23"/>
  <c r="M36" i="23"/>
  <c r="M52" i="23"/>
  <c r="M68" i="23"/>
  <c r="M84" i="23"/>
  <c r="M100" i="23"/>
  <c r="M5" i="23"/>
  <c r="O5" i="23" s="1"/>
  <c r="P5" i="23" s="1"/>
  <c r="M21" i="23"/>
  <c r="M37" i="23"/>
  <c r="O37" i="23" s="1"/>
  <c r="P37" i="23" s="1"/>
  <c r="M53" i="23"/>
  <c r="O53" i="23" s="1"/>
  <c r="P53" i="23" s="1"/>
  <c r="M69" i="23"/>
  <c r="O69" i="23" s="1"/>
  <c r="P69" i="23" s="1"/>
  <c r="M85" i="23"/>
  <c r="O85" i="23" s="1"/>
  <c r="P85" i="23" s="1"/>
  <c r="M101" i="23"/>
  <c r="O101" i="23" s="1"/>
  <c r="P101" i="23" s="1"/>
  <c r="M22" i="23"/>
  <c r="O22" i="23" s="1"/>
  <c r="P22" i="23" s="1"/>
  <c r="M38" i="23"/>
  <c r="O38" i="23" s="1"/>
  <c r="P38" i="23" s="1"/>
  <c r="M54" i="23"/>
  <c r="M70" i="23"/>
  <c r="M86" i="23"/>
  <c r="M102" i="23"/>
  <c r="M6" i="23"/>
  <c r="M7" i="23"/>
  <c r="M23" i="23"/>
  <c r="O23" i="23" s="1"/>
  <c r="P23" i="23" s="1"/>
  <c r="M39" i="23"/>
  <c r="O39" i="23" s="1"/>
  <c r="P39" i="23" s="1"/>
  <c r="M55" i="23"/>
  <c r="O55" i="23" s="1"/>
  <c r="P55" i="23" s="1"/>
  <c r="M71" i="23"/>
  <c r="O71" i="23" s="1"/>
  <c r="P71" i="23" s="1"/>
  <c r="M87" i="23"/>
  <c r="O87" i="23" s="1"/>
  <c r="P87" i="23" s="1"/>
  <c r="M103" i="23"/>
  <c r="O103" i="23" s="1"/>
  <c r="P103" i="23" s="1"/>
  <c r="M24" i="23"/>
  <c r="O24" i="23" s="1"/>
  <c r="P24" i="23" s="1"/>
  <c r="M40" i="23"/>
  <c r="O40" i="23" s="1"/>
  <c r="P40" i="23" s="1"/>
  <c r="M56" i="23"/>
  <c r="O56" i="23" s="1"/>
  <c r="P56" i="23" s="1"/>
  <c r="M72" i="23"/>
  <c r="O72" i="23" s="1"/>
  <c r="P72" i="23" s="1"/>
  <c r="M88" i="23"/>
  <c r="M104" i="23"/>
  <c r="M8" i="23"/>
  <c r="M9" i="23"/>
  <c r="M25" i="23"/>
  <c r="M41" i="23"/>
  <c r="O41" i="23" s="1"/>
  <c r="P41" i="23" s="1"/>
  <c r="M57" i="23"/>
  <c r="O57" i="23" s="1"/>
  <c r="P57" i="23" s="1"/>
  <c r="M73" i="23"/>
  <c r="O73" i="23" s="1"/>
  <c r="P73" i="23" s="1"/>
  <c r="Q73" i="23" s="1"/>
  <c r="M89" i="23"/>
  <c r="O89" i="23" s="1"/>
  <c r="P89" i="23" s="1"/>
  <c r="M105" i="23"/>
  <c r="O105" i="23" s="1"/>
  <c r="P105" i="23" s="1"/>
  <c r="M10" i="23"/>
  <c r="O10" i="23" s="1"/>
  <c r="P10" i="23" s="1"/>
  <c r="Q10" i="23" s="1"/>
  <c r="M26" i="23"/>
  <c r="O26" i="23" s="1"/>
  <c r="P26" i="23" s="1"/>
  <c r="M42" i="23"/>
  <c r="O42" i="23" s="1"/>
  <c r="P42" i="23" s="1"/>
  <c r="M58" i="23"/>
  <c r="O58" i="23" s="1"/>
  <c r="P58" i="23" s="1"/>
  <c r="Q58" i="23" s="1"/>
  <c r="M74" i="23"/>
  <c r="O74" i="23" s="1"/>
  <c r="P74" i="23" s="1"/>
  <c r="Q74" i="23" s="1"/>
  <c r="M90" i="23"/>
  <c r="O90" i="23" s="1"/>
  <c r="P90" i="23" s="1"/>
  <c r="M3" i="23"/>
  <c r="M11" i="23"/>
  <c r="M27" i="23"/>
  <c r="O27" i="23" s="1"/>
  <c r="P27" i="23" s="1"/>
  <c r="M43" i="23"/>
  <c r="M59" i="23"/>
  <c r="M75" i="23"/>
  <c r="O75" i="23" s="1"/>
  <c r="P75" i="23" s="1"/>
  <c r="M91" i="23"/>
  <c r="O91" i="23" s="1"/>
  <c r="P91" i="23" s="1"/>
  <c r="M12" i="23"/>
  <c r="O12" i="23" s="1"/>
  <c r="P12" i="23" s="1"/>
  <c r="M28" i="23"/>
  <c r="O28" i="23" s="1"/>
  <c r="P28" i="23" s="1"/>
  <c r="Q28" i="23" s="1"/>
  <c r="M44" i="23"/>
  <c r="O44" i="23" s="1"/>
  <c r="P44" i="23" s="1"/>
  <c r="M60" i="23"/>
  <c r="O60" i="23" s="1"/>
  <c r="P60" i="23" s="1"/>
  <c r="M76" i="23"/>
  <c r="O76" i="23" s="1"/>
  <c r="P76" i="23" s="1"/>
  <c r="M92" i="23"/>
  <c r="O92" i="23" s="1"/>
  <c r="P92" i="23" s="1"/>
  <c r="Q92" i="23" s="1"/>
  <c r="M13" i="23"/>
  <c r="O13" i="23" s="1"/>
  <c r="P13" i="23" s="1"/>
  <c r="M29" i="23"/>
  <c r="O29" i="23" s="1"/>
  <c r="P29" i="23" s="1"/>
  <c r="M45" i="23"/>
  <c r="O45" i="23" s="1"/>
  <c r="P45" i="23" s="1"/>
  <c r="M61" i="23"/>
  <c r="M77" i="23"/>
  <c r="M93" i="23"/>
  <c r="M14" i="23"/>
  <c r="M30" i="23"/>
  <c r="M46" i="23"/>
  <c r="M62" i="23"/>
  <c r="M78" i="23"/>
  <c r="M94" i="23"/>
  <c r="O94" i="23" s="1"/>
  <c r="P94" i="23" s="1"/>
  <c r="M15" i="23"/>
  <c r="M31" i="23"/>
  <c r="O31" i="23" s="1"/>
  <c r="P31" i="23" s="1"/>
  <c r="M47" i="23"/>
  <c r="O47" i="23" s="1"/>
  <c r="P47" i="23" s="1"/>
  <c r="M63" i="23"/>
  <c r="O63" i="23" s="1"/>
  <c r="P63" i="23" s="1"/>
  <c r="M79" i="23"/>
  <c r="O79" i="23" s="1"/>
  <c r="P79" i="23" s="1"/>
  <c r="M95" i="23"/>
  <c r="O95" i="23" s="1"/>
  <c r="P95" i="23" s="1"/>
  <c r="M16" i="23"/>
  <c r="O16" i="23" s="1"/>
  <c r="P16" i="23" s="1"/>
  <c r="M32" i="23"/>
  <c r="M48" i="23"/>
  <c r="M64" i="23"/>
  <c r="M80" i="23"/>
  <c r="M96" i="23"/>
  <c r="M17" i="23"/>
  <c r="M33" i="23"/>
  <c r="O33" i="23" s="1"/>
  <c r="P33" i="23" s="1"/>
  <c r="M49" i="23"/>
  <c r="O49" i="23" s="1"/>
  <c r="P49" i="23" s="1"/>
  <c r="Q49" i="23" s="1"/>
  <c r="M65" i="23"/>
  <c r="O65" i="23" s="1"/>
  <c r="P65" i="23" s="1"/>
  <c r="M81" i="23"/>
  <c r="O81" i="23" s="1"/>
  <c r="P81" i="23" s="1"/>
  <c r="M97" i="23"/>
  <c r="O97" i="23" s="1"/>
  <c r="P97" i="23" s="1"/>
  <c r="M18" i="23"/>
  <c r="O18" i="23" s="1"/>
  <c r="P18" i="23" s="1"/>
  <c r="M34" i="23"/>
  <c r="O34" i="23" s="1"/>
  <c r="P34" i="23" s="1"/>
  <c r="M50" i="23"/>
  <c r="O50" i="23" s="1"/>
  <c r="P50" i="23" s="1"/>
  <c r="M66" i="23"/>
  <c r="O66" i="23" s="1"/>
  <c r="P66" i="23" s="1"/>
  <c r="Q66" i="23" s="1"/>
  <c r="M82" i="23"/>
  <c r="O82" i="23" s="1"/>
  <c r="P82" i="23" s="1"/>
  <c r="Q82" i="23" s="1"/>
  <c r="M98" i="23"/>
  <c r="M19" i="23"/>
  <c r="M35" i="23"/>
  <c r="O35" i="23" s="1"/>
  <c r="P35" i="23" s="1"/>
  <c r="M51" i="23"/>
  <c r="O51" i="23" s="1"/>
  <c r="P51" i="23" s="1"/>
  <c r="M67" i="23"/>
  <c r="M83" i="23"/>
  <c r="O83" i="23" s="1"/>
  <c r="P83" i="23" s="1"/>
  <c r="Q83" i="23" s="1"/>
  <c r="M99" i="23"/>
  <c r="O7" i="23"/>
  <c r="P7" i="23" s="1"/>
  <c r="O9" i="23"/>
  <c r="P9" i="23" s="1"/>
  <c r="O11" i="23"/>
  <c r="P11" i="23" s="1"/>
  <c r="Q11" i="23" s="1"/>
  <c r="O15" i="23"/>
  <c r="P15" i="23" s="1"/>
  <c r="O17" i="23"/>
  <c r="P17" i="23" s="1"/>
  <c r="O19" i="23"/>
  <c r="P19" i="23" s="1"/>
  <c r="O21" i="23"/>
  <c r="P21" i="23" s="1"/>
  <c r="O25" i="23"/>
  <c r="P25" i="23" s="1"/>
  <c r="Q25" i="23" s="1"/>
  <c r="O43" i="23"/>
  <c r="P43" i="23" s="1"/>
  <c r="O59" i="23"/>
  <c r="O61" i="23"/>
  <c r="P61" i="23" s="1"/>
  <c r="O67" i="23"/>
  <c r="O77" i="23"/>
  <c r="P77" i="23" s="1"/>
  <c r="O93" i="23"/>
  <c r="P93" i="23" s="1"/>
  <c r="O99" i="23"/>
  <c r="O8" i="23"/>
  <c r="P8" i="23" s="1"/>
  <c r="O30" i="23"/>
  <c r="P30" i="23" s="1"/>
  <c r="O36" i="23"/>
  <c r="P36" i="23" s="1"/>
  <c r="O46" i="23"/>
  <c r="P46" i="23" s="1"/>
  <c r="O78" i="23"/>
  <c r="P78" i="23" s="1"/>
  <c r="O84" i="23"/>
  <c r="P84" i="23" s="1"/>
  <c r="O98" i="23"/>
  <c r="P98" i="23" s="1"/>
  <c r="O102" i="23"/>
  <c r="P102" i="23" s="1"/>
  <c r="O4" i="23"/>
  <c r="O6" i="23"/>
  <c r="P6" i="23" s="1"/>
  <c r="O14" i="23"/>
  <c r="P14" i="23" s="1"/>
  <c r="O20" i="23"/>
  <c r="P20" i="23" s="1"/>
  <c r="O32" i="23"/>
  <c r="P32" i="23" s="1"/>
  <c r="O48" i="23"/>
  <c r="P48" i="23" s="1"/>
  <c r="O52" i="23"/>
  <c r="P52" i="23" s="1"/>
  <c r="O54" i="23"/>
  <c r="P54" i="23" s="1"/>
  <c r="O62" i="23"/>
  <c r="P62" i="23" s="1"/>
  <c r="O64" i="23"/>
  <c r="P64" i="23" s="1"/>
  <c r="O68" i="23"/>
  <c r="P68" i="23" s="1"/>
  <c r="O70" i="23"/>
  <c r="O80" i="23"/>
  <c r="P80" i="23" s="1"/>
  <c r="O86" i="23"/>
  <c r="P86" i="23" s="1"/>
  <c r="O88" i="23"/>
  <c r="P88" i="23" s="1"/>
  <c r="O96" i="23"/>
  <c r="O100" i="23"/>
  <c r="P100" i="23" s="1"/>
  <c r="O104" i="23"/>
  <c r="P104" i="23" s="1"/>
  <c r="N3" i="23"/>
  <c r="N5" i="23"/>
  <c r="N11" i="23"/>
  <c r="N15" i="23"/>
  <c r="N21" i="23"/>
  <c r="N25" i="23"/>
  <c r="N29" i="23"/>
  <c r="N35" i="23"/>
  <c r="N41" i="23"/>
  <c r="N47" i="23"/>
  <c r="N53" i="23"/>
  <c r="N61" i="23"/>
  <c r="N67" i="23"/>
  <c r="N73" i="23"/>
  <c r="N81" i="23"/>
  <c r="N87" i="23"/>
  <c r="N95" i="23"/>
  <c r="N101" i="23"/>
  <c r="N4" i="23"/>
  <c r="N6" i="23"/>
  <c r="N8" i="23"/>
  <c r="N10" i="23"/>
  <c r="N12" i="23"/>
  <c r="N14" i="23"/>
  <c r="N16" i="23"/>
  <c r="N18" i="23"/>
  <c r="N20" i="23"/>
  <c r="N22" i="23"/>
  <c r="N24" i="23"/>
  <c r="N26" i="23"/>
  <c r="N28" i="23"/>
  <c r="N30" i="23"/>
  <c r="N32" i="23"/>
  <c r="N34" i="23"/>
  <c r="N36" i="23"/>
  <c r="N38" i="23"/>
  <c r="N40" i="23"/>
  <c r="N42" i="23"/>
  <c r="N44" i="23"/>
  <c r="N46" i="23"/>
  <c r="N48" i="23"/>
  <c r="N50" i="23"/>
  <c r="N52" i="23"/>
  <c r="N54" i="23"/>
  <c r="N56" i="23"/>
  <c r="N58" i="23"/>
  <c r="N60" i="23"/>
  <c r="N62" i="23"/>
  <c r="N64" i="23"/>
  <c r="N66" i="23"/>
  <c r="N68" i="23"/>
  <c r="N70" i="23"/>
  <c r="N72" i="23"/>
  <c r="N74" i="23"/>
  <c r="N76" i="23"/>
  <c r="N78" i="23"/>
  <c r="N80" i="23"/>
  <c r="N82" i="23"/>
  <c r="N84" i="23"/>
  <c r="N86" i="23"/>
  <c r="N88" i="23"/>
  <c r="N90" i="23"/>
  <c r="N92" i="23"/>
  <c r="N94" i="23"/>
  <c r="N96" i="23"/>
  <c r="N98" i="23"/>
  <c r="N100" i="23"/>
  <c r="N102" i="23"/>
  <c r="N104" i="23"/>
  <c r="N7" i="23"/>
  <c r="N9" i="23"/>
  <c r="N13" i="23"/>
  <c r="N17" i="23"/>
  <c r="N19" i="23"/>
  <c r="N23" i="23"/>
  <c r="N27" i="23"/>
  <c r="N31" i="23"/>
  <c r="N33" i="23"/>
  <c r="N37" i="23"/>
  <c r="N39" i="23"/>
  <c r="N43" i="23"/>
  <c r="N45" i="23"/>
  <c r="N49" i="23"/>
  <c r="N51" i="23"/>
  <c r="N55" i="23"/>
  <c r="N57" i="23"/>
  <c r="N59" i="23"/>
  <c r="N63" i="23"/>
  <c r="N65" i="23"/>
  <c r="N69" i="23"/>
  <c r="N71" i="23"/>
  <c r="N75" i="23"/>
  <c r="N77" i="23"/>
  <c r="N79" i="23"/>
  <c r="N83" i="23"/>
  <c r="N85" i="23"/>
  <c r="N89" i="23"/>
  <c r="N91" i="23"/>
  <c r="N93" i="23"/>
  <c r="N97" i="23"/>
  <c r="N99" i="23"/>
  <c r="N103" i="23"/>
  <c r="N105" i="23"/>
  <c r="P96" i="23"/>
  <c r="P99" i="23"/>
  <c r="P70" i="23"/>
  <c r="P59" i="23"/>
  <c r="P67" i="23"/>
  <c r="Q14" i="5"/>
  <c r="R14" i="5" s="1"/>
  <c r="G3" i="23"/>
  <c r="H3" i="23" s="1"/>
  <c r="C111" i="23"/>
  <c r="I4" i="23"/>
  <c r="J4" i="23" s="1"/>
  <c r="J3" i="23"/>
  <c r="K3" i="23" s="1"/>
  <c r="K5" i="23"/>
  <c r="Q33" i="23" l="1"/>
  <c r="Q59" i="23"/>
  <c r="Q55" i="23"/>
  <c r="O3" i="23"/>
  <c r="P3" i="23" s="1"/>
  <c r="Q87" i="23"/>
  <c r="Q6" i="23"/>
  <c r="Q81" i="23"/>
  <c r="Q9" i="23"/>
  <c r="Q104" i="23"/>
  <c r="Q91" i="23"/>
  <c r="Q100" i="23"/>
  <c r="Q76" i="23"/>
  <c r="Q52" i="23"/>
  <c r="Q20" i="23"/>
  <c r="Q12" i="23"/>
  <c r="Q90" i="23"/>
  <c r="Q80" i="23"/>
  <c r="Q68" i="23"/>
  <c r="Q42" i="23"/>
  <c r="Q24" i="23"/>
  <c r="Q84" i="23"/>
  <c r="Q60" i="23"/>
  <c r="Q26" i="23"/>
  <c r="Q103" i="23"/>
  <c r="Q79" i="23"/>
  <c r="Q71" i="23"/>
  <c r="Q47" i="23"/>
  <c r="Q39" i="23"/>
  <c r="Q23" i="23"/>
  <c r="Q7" i="23"/>
  <c r="Q44" i="23"/>
  <c r="Q105" i="23"/>
  <c r="Q89" i="23"/>
  <c r="Q65" i="23"/>
  <c r="Q57" i="23"/>
  <c r="Q96" i="23"/>
  <c r="Q99" i="23"/>
  <c r="Q34" i="23"/>
  <c r="Q98" i="23"/>
  <c r="Q41" i="23"/>
  <c r="Q88" i="23"/>
  <c r="Q64" i="23"/>
  <c r="Q56" i="23"/>
  <c r="Q36" i="23"/>
  <c r="Q101" i="23"/>
  <c r="Q93" i="23"/>
  <c r="Q77" i="23"/>
  <c r="Q69" i="23"/>
  <c r="Q53" i="23"/>
  <c r="Q45" i="23"/>
  <c r="Q37" i="23"/>
  <c r="Q29" i="23"/>
  <c r="Q21" i="23"/>
  <c r="Q13" i="23"/>
  <c r="Q5" i="23"/>
  <c r="Q40" i="23"/>
  <c r="Q95" i="23"/>
  <c r="Q31" i="23"/>
  <c r="Q18" i="23"/>
  <c r="Q8" i="23"/>
  <c r="Q50" i="23"/>
  <c r="Q72" i="23"/>
  <c r="Q48" i="23"/>
  <c r="Q19" i="23"/>
  <c r="Q32" i="23"/>
  <c r="Q38" i="23"/>
  <c r="Q85" i="23"/>
  <c r="Q102" i="23"/>
  <c r="Q22" i="23"/>
  <c r="Q61" i="23"/>
  <c r="Q35" i="23"/>
  <c r="Q67" i="23"/>
  <c r="Q70" i="23"/>
  <c r="Q17" i="23"/>
  <c r="Q30" i="23"/>
  <c r="Q16" i="23"/>
  <c r="Q94" i="23"/>
  <c r="Q43" i="23"/>
  <c r="Q15" i="23"/>
  <c r="Q75" i="23"/>
  <c r="Q62" i="23"/>
  <c r="Q46" i="23"/>
  <c r="Q51" i="23"/>
  <c r="Q14" i="23"/>
  <c r="Q63" i="23"/>
  <c r="Q97" i="23"/>
  <c r="Q54" i="23"/>
  <c r="Q27" i="23"/>
  <c r="Q78" i="23"/>
  <c r="Q86" i="23"/>
  <c r="F108" i="23"/>
  <c r="F109" i="23" s="1"/>
  <c r="G108" i="23"/>
  <c r="K4" i="23"/>
  <c r="P4" i="23"/>
  <c r="Q4" i="23" s="1"/>
  <c r="C110" i="23"/>
  <c r="C133" i="23" s="1"/>
  <c r="C136" i="23" s="1"/>
  <c r="G114" i="23" l="1"/>
  <c r="F114" i="23"/>
  <c r="Q3" i="23"/>
  <c r="G109" i="23"/>
  <c r="C112" i="23"/>
  <c r="C114" i="23" s="1"/>
  <c r="C134" i="23" s="1"/>
  <c r="C137" i="23" s="1"/>
  <c r="J4" i="15"/>
  <c r="J5" i="15"/>
  <c r="K5" i="15" s="1"/>
  <c r="L5" i="15" s="1"/>
  <c r="J3" i="15"/>
  <c r="G8" i="15" s="1"/>
  <c r="G4" i="15"/>
  <c r="H4" i="15" s="1"/>
  <c r="I4" i="15" s="1"/>
  <c r="G5" i="15"/>
  <c r="H5" i="15" s="1"/>
  <c r="I5" i="15" s="1"/>
  <c r="G3" i="15"/>
  <c r="H3" i="15" s="1"/>
  <c r="I3" i="15" s="1"/>
  <c r="J4" i="14"/>
  <c r="J5" i="14"/>
  <c r="K5" i="14" s="1"/>
  <c r="L5" i="14" s="1"/>
  <c r="J6" i="14"/>
  <c r="J7" i="14"/>
  <c r="J8" i="14"/>
  <c r="J3" i="14"/>
  <c r="K3" i="14" s="1"/>
  <c r="G4" i="14"/>
  <c r="H4" i="14" s="1"/>
  <c r="I4" i="14" s="1"/>
  <c r="G5" i="14"/>
  <c r="H5" i="14" s="1"/>
  <c r="I5" i="14" s="1"/>
  <c r="G6" i="14"/>
  <c r="H6" i="14" s="1"/>
  <c r="I6" i="14" s="1"/>
  <c r="G7" i="14"/>
  <c r="H7" i="14" s="1"/>
  <c r="I7" i="14" s="1"/>
  <c r="G8" i="14"/>
  <c r="H8" i="14" s="1"/>
  <c r="I8" i="14" s="1"/>
  <c r="G3" i="14"/>
  <c r="H3" i="14" s="1"/>
  <c r="I3" i="14" s="1"/>
  <c r="P5" i="13"/>
  <c r="J4" i="13"/>
  <c r="J5" i="13"/>
  <c r="K5" i="13"/>
  <c r="L5" i="13" s="1"/>
  <c r="J6" i="13"/>
  <c r="K6" i="13" s="1"/>
  <c r="L6" i="13" s="1"/>
  <c r="J7" i="13"/>
  <c r="J8" i="13"/>
  <c r="K8" i="13" s="1"/>
  <c r="J9" i="13"/>
  <c r="K9" i="13" s="1"/>
  <c r="L9" i="13" s="1"/>
  <c r="J3" i="13"/>
  <c r="K3" i="13" s="1"/>
  <c r="G4" i="13"/>
  <c r="H4" i="13" s="1"/>
  <c r="I4" i="13" s="1"/>
  <c r="G5" i="13"/>
  <c r="H5" i="13"/>
  <c r="I5" i="13" s="1"/>
  <c r="G6" i="13"/>
  <c r="H6" i="13" s="1"/>
  <c r="G7" i="13"/>
  <c r="H7" i="13" s="1"/>
  <c r="I7" i="13" s="1"/>
  <c r="G8" i="13"/>
  <c r="H8" i="13" s="1"/>
  <c r="I8" i="13" s="1"/>
  <c r="G9" i="13"/>
  <c r="H9" i="13" s="1"/>
  <c r="G3" i="13"/>
  <c r="H3" i="13" s="1"/>
  <c r="I3" i="13" s="1"/>
  <c r="J4" i="12"/>
  <c r="J5" i="12"/>
  <c r="K5" i="12" s="1"/>
  <c r="L5" i="12" s="1"/>
  <c r="J7" i="12"/>
  <c r="C13" i="12"/>
  <c r="G4" i="12"/>
  <c r="H4" i="12" s="1"/>
  <c r="I4" i="12" s="1"/>
  <c r="G5" i="12"/>
  <c r="H5" i="12" s="1"/>
  <c r="I5" i="12" s="1"/>
  <c r="G7" i="12"/>
  <c r="H7" i="12" s="1"/>
  <c r="I7" i="12" s="1"/>
  <c r="J4" i="7"/>
  <c r="J5" i="7"/>
  <c r="J3" i="7"/>
  <c r="G4" i="7"/>
  <c r="H4" i="7" s="1"/>
  <c r="I4" i="7" s="1"/>
  <c r="G5" i="7"/>
  <c r="H5" i="7" s="1"/>
  <c r="I5" i="7" s="1"/>
  <c r="G3" i="7"/>
  <c r="P7" i="6"/>
  <c r="P4" i="6"/>
  <c r="K3" i="6"/>
  <c r="J3" i="6"/>
  <c r="G4" i="6"/>
  <c r="H4" i="6" s="1"/>
  <c r="I4" i="6" s="1"/>
  <c r="J4" i="6"/>
  <c r="K4" i="6" s="1"/>
  <c r="L4" i="6" s="1"/>
  <c r="G5" i="6"/>
  <c r="H5" i="6" s="1"/>
  <c r="P5" i="6" s="1"/>
  <c r="J5" i="6"/>
  <c r="G6" i="6"/>
  <c r="H6" i="6" s="1"/>
  <c r="P6" i="6" s="1"/>
  <c r="J6" i="6"/>
  <c r="K6" i="6" s="1"/>
  <c r="L6" i="6" s="1"/>
  <c r="G7" i="6"/>
  <c r="H7" i="6" s="1"/>
  <c r="I7" i="6" s="1"/>
  <c r="J7" i="6"/>
  <c r="F13" i="6" s="1"/>
  <c r="G8" i="6"/>
  <c r="H8" i="6" s="1"/>
  <c r="I8" i="6" s="1"/>
  <c r="J8" i="6"/>
  <c r="K8" i="6" s="1"/>
  <c r="L8" i="6" s="1"/>
  <c r="G9" i="6"/>
  <c r="H9" i="6" s="1"/>
  <c r="I9" i="6" s="1"/>
  <c r="J9" i="6"/>
  <c r="G10" i="6"/>
  <c r="H10" i="6" s="1"/>
  <c r="P10" i="6" s="1"/>
  <c r="J10" i="6"/>
  <c r="K10" i="6" s="1"/>
  <c r="L10" i="6" s="1"/>
  <c r="G3" i="6"/>
  <c r="H3" i="6" s="1"/>
  <c r="P3" i="13" l="1"/>
  <c r="Q3" i="13" s="1"/>
  <c r="P8" i="13"/>
  <c r="Q8" i="13" s="1"/>
  <c r="P7" i="13"/>
  <c r="Q5" i="13"/>
  <c r="R5" i="13" s="1"/>
  <c r="Q10" i="6"/>
  <c r="P9" i="6"/>
  <c r="I10" i="6"/>
  <c r="L3" i="6"/>
  <c r="Q6" i="6"/>
  <c r="I9" i="13"/>
  <c r="P9" i="13"/>
  <c r="Q9" i="13" s="1"/>
  <c r="R9" i="13" s="1"/>
  <c r="I6" i="13"/>
  <c r="P6" i="13"/>
  <c r="Q6" i="13" s="1"/>
  <c r="R6" i="13" s="1"/>
  <c r="I3" i="6"/>
  <c r="P3" i="6"/>
  <c r="Q3" i="6" s="1"/>
  <c r="R3" i="6" s="1"/>
  <c r="K9" i="6"/>
  <c r="L9" i="6" s="1"/>
  <c r="C15" i="6"/>
  <c r="G13" i="6"/>
  <c r="K5" i="6"/>
  <c r="L5" i="6" s="1"/>
  <c r="Q9" i="6"/>
  <c r="R9" i="6" s="1"/>
  <c r="I6" i="6"/>
  <c r="F10" i="12"/>
  <c r="I5" i="6"/>
  <c r="P8" i="6"/>
  <c r="Q8" i="6" s="1"/>
  <c r="C13" i="6"/>
  <c r="Q7" i="13"/>
  <c r="P4" i="13"/>
  <c r="C12" i="13"/>
  <c r="K7" i="6"/>
  <c r="L7" i="6" s="1"/>
  <c r="C14" i="13"/>
  <c r="Q4" i="6"/>
  <c r="R4" i="6" s="1"/>
  <c r="F12" i="13"/>
  <c r="C11" i="12"/>
  <c r="G12" i="13"/>
  <c r="R8" i="6"/>
  <c r="K5" i="7"/>
  <c r="L5" i="7" s="1"/>
  <c r="N5" i="7"/>
  <c r="K3" i="7"/>
  <c r="L3" i="7" s="1"/>
  <c r="N3" i="7"/>
  <c r="K4" i="7"/>
  <c r="L4" i="7" s="1"/>
  <c r="N4" i="7"/>
  <c r="K3" i="15"/>
  <c r="L3" i="15" s="1"/>
  <c r="F8" i="15"/>
  <c r="R3" i="13"/>
  <c r="R7" i="13"/>
  <c r="R8" i="13"/>
  <c r="R6" i="6"/>
  <c r="R10" i="6"/>
  <c r="C8" i="7"/>
  <c r="C9" i="15"/>
  <c r="C11" i="15"/>
  <c r="K4" i="15"/>
  <c r="L4" i="15" s="1"/>
  <c r="G11" i="14"/>
  <c r="C11" i="14"/>
  <c r="C13" i="14"/>
  <c r="H11" i="14"/>
  <c r="K6" i="14"/>
  <c r="L6" i="14" s="1"/>
  <c r="L3" i="14"/>
  <c r="K8" i="14"/>
  <c r="L8" i="14" s="1"/>
  <c r="K4" i="14"/>
  <c r="L4" i="14" s="1"/>
  <c r="K7" i="14"/>
  <c r="L7" i="14" s="1"/>
  <c r="K4" i="13"/>
  <c r="L4" i="13" s="1"/>
  <c r="L8" i="13"/>
  <c r="K7" i="13"/>
  <c r="L7" i="13" s="1"/>
  <c r="L3" i="13"/>
  <c r="K4" i="12"/>
  <c r="L4" i="12" s="1"/>
  <c r="G10" i="12"/>
  <c r="K7" i="12"/>
  <c r="L7" i="12" s="1"/>
  <c r="G8" i="7"/>
  <c r="F8" i="7"/>
  <c r="H3" i="7"/>
  <c r="I3" i="7" s="1"/>
  <c r="C10" i="7"/>
  <c r="J5" i="5"/>
  <c r="K5" i="5" s="1"/>
  <c r="L5" i="5" s="1"/>
  <c r="J6" i="5"/>
  <c r="K6" i="5" s="1"/>
  <c r="L6" i="5" s="1"/>
  <c r="J8" i="5"/>
  <c r="J9" i="5"/>
  <c r="K9" i="5" s="1"/>
  <c r="L9" i="5" s="1"/>
  <c r="J10" i="5"/>
  <c r="K10" i="5" s="1"/>
  <c r="L10" i="5" s="1"/>
  <c r="J11" i="5"/>
  <c r="K11" i="5" s="1"/>
  <c r="L11" i="5" s="1"/>
  <c r="J12" i="5"/>
  <c r="K12" i="5" s="1"/>
  <c r="J13" i="5"/>
  <c r="K13" i="5" s="1"/>
  <c r="L13" i="5" s="1"/>
  <c r="K3" i="5"/>
  <c r="L3" i="5" s="1"/>
  <c r="J3" i="5"/>
  <c r="G5" i="5"/>
  <c r="H5" i="5" s="1"/>
  <c r="I5" i="5" s="1"/>
  <c r="G6" i="5"/>
  <c r="H6" i="5" s="1"/>
  <c r="I6" i="5" s="1"/>
  <c r="G8" i="5"/>
  <c r="H8" i="5" s="1"/>
  <c r="I8" i="5" s="1"/>
  <c r="G9" i="5"/>
  <c r="H9" i="5" s="1"/>
  <c r="I9" i="5" s="1"/>
  <c r="G10" i="5"/>
  <c r="H10" i="5" s="1"/>
  <c r="G11" i="5"/>
  <c r="H11" i="5" s="1"/>
  <c r="G12" i="5"/>
  <c r="H12" i="5" s="1"/>
  <c r="I12" i="5" s="1"/>
  <c r="G13" i="5"/>
  <c r="H13" i="5" s="1"/>
  <c r="I13" i="5" s="1"/>
  <c r="G3" i="5"/>
  <c r="H3" i="5" s="1"/>
  <c r="I3" i="5" s="1"/>
  <c r="J4" i="4"/>
  <c r="J5" i="4"/>
  <c r="J6" i="4"/>
  <c r="K6" i="4" s="1"/>
  <c r="L6" i="4" s="1"/>
  <c r="J7" i="4"/>
  <c r="K7" i="4" s="1"/>
  <c r="L7" i="4" s="1"/>
  <c r="J8" i="4"/>
  <c r="J9" i="4"/>
  <c r="J3" i="4"/>
  <c r="F12" i="4" s="1"/>
  <c r="G4" i="4"/>
  <c r="H4" i="4" s="1"/>
  <c r="I4" i="4" s="1"/>
  <c r="G5" i="4"/>
  <c r="H5" i="4" s="1"/>
  <c r="G6" i="4"/>
  <c r="H6" i="4" s="1"/>
  <c r="G7" i="4"/>
  <c r="H7" i="4" s="1"/>
  <c r="I7" i="4" s="1"/>
  <c r="G8" i="4"/>
  <c r="H8" i="4" s="1"/>
  <c r="I8" i="4" s="1"/>
  <c r="G9" i="4"/>
  <c r="H9" i="4" s="1"/>
  <c r="I9" i="4" s="1"/>
  <c r="G3" i="4"/>
  <c r="H3" i="4" s="1"/>
  <c r="I3" i="4" s="1"/>
  <c r="J4" i="3"/>
  <c r="K4" i="3" s="1"/>
  <c r="L4" i="3" s="1"/>
  <c r="J5" i="3"/>
  <c r="K5" i="3" s="1"/>
  <c r="J6" i="3"/>
  <c r="K6" i="3" s="1"/>
  <c r="L6" i="3" s="1"/>
  <c r="J7" i="3"/>
  <c r="K7" i="3" s="1"/>
  <c r="L7" i="3" s="1"/>
  <c r="J8" i="3"/>
  <c r="K8" i="3" s="1"/>
  <c r="L8" i="3" s="1"/>
  <c r="J3" i="3"/>
  <c r="G4" i="3"/>
  <c r="H4" i="3" s="1"/>
  <c r="I4" i="3" s="1"/>
  <c r="G5" i="3"/>
  <c r="H5" i="3" s="1"/>
  <c r="I5" i="3" s="1"/>
  <c r="G6" i="3"/>
  <c r="H6" i="3" s="1"/>
  <c r="G7" i="3"/>
  <c r="H7" i="3" s="1"/>
  <c r="G8" i="3"/>
  <c r="H8" i="3" s="1"/>
  <c r="I8" i="3" s="1"/>
  <c r="G3" i="3"/>
  <c r="H3" i="3" s="1"/>
  <c r="I3" i="3" s="1"/>
  <c r="Q4" i="13" l="1"/>
  <c r="R4" i="13" s="1"/>
  <c r="Q7" i="6"/>
  <c r="R7" i="6" s="1"/>
  <c r="P13" i="5"/>
  <c r="Q13" i="5" s="1"/>
  <c r="G17" i="5"/>
  <c r="C19" i="5"/>
  <c r="I11" i="5"/>
  <c r="P11" i="5"/>
  <c r="Q11" i="5" s="1"/>
  <c r="I6" i="4"/>
  <c r="P6" i="4"/>
  <c r="Q6" i="4" s="1"/>
  <c r="I10" i="5"/>
  <c r="P10" i="5"/>
  <c r="Q10" i="5" s="1"/>
  <c r="I5" i="4"/>
  <c r="P5" i="4"/>
  <c r="P8" i="4"/>
  <c r="P7" i="4"/>
  <c r="Q7" i="4" s="1"/>
  <c r="R7" i="4" s="1"/>
  <c r="F17" i="5"/>
  <c r="Q5" i="6"/>
  <c r="R5" i="6" s="1"/>
  <c r="K3" i="4"/>
  <c r="L3" i="4" s="1"/>
  <c r="C12" i="4"/>
  <c r="P3" i="4"/>
  <c r="Q3" i="4" s="1"/>
  <c r="R3" i="4" s="1"/>
  <c r="P9" i="4"/>
  <c r="P12" i="5"/>
  <c r="Q12" i="5" s="1"/>
  <c r="C14" i="4"/>
  <c r="L12" i="5"/>
  <c r="P9" i="5"/>
  <c r="Q9" i="5" s="1"/>
  <c r="P4" i="4"/>
  <c r="P5" i="5"/>
  <c r="Q5" i="5" s="1"/>
  <c r="P8" i="5"/>
  <c r="P6" i="5"/>
  <c r="Q6" i="5" s="1"/>
  <c r="G12" i="4"/>
  <c r="C17" i="5"/>
  <c r="O4" i="7"/>
  <c r="P4" i="7" s="1"/>
  <c r="O5" i="7"/>
  <c r="P5" i="7" s="1"/>
  <c r="F14" i="7"/>
  <c r="F15" i="7" s="1"/>
  <c r="G14" i="7"/>
  <c r="O3" i="7"/>
  <c r="P3" i="7" s="1"/>
  <c r="I7" i="3"/>
  <c r="P7" i="3"/>
  <c r="Q7" i="3" s="1"/>
  <c r="I6" i="3"/>
  <c r="P6" i="3"/>
  <c r="Q6" i="3" s="1"/>
  <c r="F11" i="3"/>
  <c r="C11" i="3"/>
  <c r="L5" i="3"/>
  <c r="P8" i="3"/>
  <c r="Q8" i="3" s="1"/>
  <c r="R8" i="3" s="1"/>
  <c r="P4" i="3"/>
  <c r="Q4" i="3" s="1"/>
  <c r="R4" i="3" s="1"/>
  <c r="P3" i="3"/>
  <c r="P5" i="3"/>
  <c r="Q5" i="3" s="1"/>
  <c r="R5" i="3" s="1"/>
  <c r="G11" i="3"/>
  <c r="K8" i="5"/>
  <c r="L8" i="5" s="1"/>
  <c r="K9" i="4"/>
  <c r="L9" i="4" s="1"/>
  <c r="K5" i="4"/>
  <c r="L5" i="4" s="1"/>
  <c r="K8" i="4"/>
  <c r="L8" i="4" s="1"/>
  <c r="K4" i="4"/>
  <c r="L4" i="4" s="1"/>
  <c r="K3" i="3"/>
  <c r="L3" i="3" s="1"/>
  <c r="Q8" i="5" l="1"/>
  <c r="Q8" i="4"/>
  <c r="R8" i="4" s="1"/>
  <c r="R6" i="4"/>
  <c r="Q5" i="4"/>
  <c r="R5" i="4" s="1"/>
  <c r="Q4" i="4"/>
  <c r="R4" i="4" s="1"/>
  <c r="Q9" i="4"/>
  <c r="R9" i="4" s="1"/>
  <c r="G15" i="7"/>
  <c r="R6" i="3"/>
  <c r="R7" i="3"/>
  <c r="Q3" i="3"/>
  <c r="R3" i="3" s="1"/>
  <c r="P4" i="15"/>
  <c r="Q4" i="15" s="1"/>
  <c r="R4" i="15" s="1"/>
  <c r="P5" i="15"/>
  <c r="Q5" i="15" s="1"/>
  <c r="R5" i="15" s="1"/>
  <c r="P3" i="15"/>
  <c r="Q3" i="15" s="1"/>
  <c r="R3" i="15" s="1"/>
  <c r="P5" i="14"/>
  <c r="Q5" i="14" s="1"/>
  <c r="R5" i="14" s="1"/>
  <c r="P3" i="14"/>
  <c r="Q3" i="14" s="1"/>
  <c r="R3" i="14" s="1"/>
  <c r="P4" i="14"/>
  <c r="Q4" i="14" s="1"/>
  <c r="R4" i="14" s="1"/>
  <c r="P8" i="14"/>
  <c r="Q8" i="14" s="1"/>
  <c r="R8" i="14" s="1"/>
  <c r="P7" i="14"/>
  <c r="Q7" i="14" s="1"/>
  <c r="R7" i="14" s="1"/>
  <c r="P6" i="14"/>
  <c r="Q6" i="14" s="1"/>
  <c r="R6" i="14" s="1"/>
  <c r="P5" i="12"/>
  <c r="Q5" i="12" s="1"/>
  <c r="R5" i="12" s="1"/>
  <c r="P4" i="12"/>
  <c r="Q4" i="12" s="1"/>
  <c r="R4" i="12" s="1"/>
  <c r="P7" i="12"/>
  <c r="Q7" i="12" s="1"/>
  <c r="R7" i="12" s="1"/>
  <c r="T4" i="7"/>
  <c r="U4" i="7" s="1"/>
  <c r="V4" i="7" s="1"/>
  <c r="T5" i="7"/>
  <c r="U5" i="7" s="1"/>
  <c r="V5" i="7" s="1"/>
  <c r="T3" i="7"/>
  <c r="U3" i="7" s="1"/>
  <c r="J5" i="11" l="1"/>
  <c r="J6" i="11"/>
  <c r="J7" i="11"/>
  <c r="J8" i="11"/>
  <c r="J9" i="11"/>
  <c r="J3" i="11"/>
  <c r="K3" i="11" s="1"/>
  <c r="G5" i="11"/>
  <c r="H5" i="11" s="1"/>
  <c r="I5" i="11" s="1"/>
  <c r="G6" i="11"/>
  <c r="H6" i="11" s="1"/>
  <c r="I6" i="11" s="1"/>
  <c r="G7" i="11"/>
  <c r="H7" i="11" s="1"/>
  <c r="I7" i="11" s="1"/>
  <c r="G8" i="11"/>
  <c r="H8" i="11" s="1"/>
  <c r="I8" i="11" s="1"/>
  <c r="G9" i="11"/>
  <c r="H9" i="11" s="1"/>
  <c r="I9" i="11" s="1"/>
  <c r="G3" i="11"/>
  <c r="P7" i="11" l="1"/>
  <c r="F12" i="11"/>
  <c r="F13" i="11" s="1"/>
  <c r="L3" i="11"/>
  <c r="K6" i="11"/>
  <c r="L6" i="11" s="1"/>
  <c r="K7" i="11"/>
  <c r="L7" i="11" s="1"/>
  <c r="C12" i="11"/>
  <c r="H3" i="11"/>
  <c r="P3" i="11" s="1"/>
  <c r="K8" i="11"/>
  <c r="L8" i="11" s="1"/>
  <c r="K9" i="11"/>
  <c r="L9" i="11" s="1"/>
  <c r="K5" i="11"/>
  <c r="L5" i="11" s="1"/>
  <c r="P8" i="11"/>
  <c r="P9" i="11"/>
  <c r="P6" i="11"/>
  <c r="P5" i="11"/>
  <c r="C13" i="3"/>
  <c r="C14" i="11"/>
  <c r="F9" i="15"/>
  <c r="G12" i="14"/>
  <c r="F13" i="13"/>
  <c r="F11" i="12"/>
  <c r="F9" i="7"/>
  <c r="F14" i="6"/>
  <c r="F18" i="5"/>
  <c r="P3" i="5"/>
  <c r="Q3" i="5" s="1"/>
  <c r="F13" i="4"/>
  <c r="F12" i="3"/>
  <c r="G12" i="11"/>
  <c r="Q9" i="11" l="1"/>
  <c r="R9" i="11" s="1"/>
  <c r="Q7" i="11"/>
  <c r="R7" i="11" s="1"/>
  <c r="Q6" i="11"/>
  <c r="R6" i="11" s="1"/>
  <c r="I3" i="11"/>
  <c r="Q3" i="11"/>
  <c r="Q5" i="11"/>
  <c r="R5" i="11" s="1"/>
  <c r="Q8" i="11"/>
  <c r="R8" i="11" s="1"/>
  <c r="G11" i="12"/>
  <c r="G13" i="11"/>
  <c r="G9" i="15"/>
  <c r="H12" i="14"/>
  <c r="G13" i="13"/>
  <c r="G9" i="7"/>
  <c r="G14" i="6"/>
  <c r="G18" i="5"/>
  <c r="G12" i="3"/>
  <c r="G13" i="4"/>
  <c r="C12" i="14"/>
  <c r="C28" i="14" s="1"/>
  <c r="C31" i="14" s="1"/>
  <c r="C12" i="12"/>
  <c r="C28" i="12" s="1"/>
  <c r="C31" i="12" s="1"/>
  <c r="C13" i="4"/>
  <c r="C29" i="4" s="1"/>
  <c r="C32" i="4" s="1"/>
  <c r="C14" i="6"/>
  <c r="C30" i="6" s="1"/>
  <c r="C33" i="6" s="1"/>
  <c r="C13" i="13"/>
  <c r="C29" i="13" s="1"/>
  <c r="C32" i="13" s="1"/>
  <c r="C12" i="3"/>
  <c r="C28" i="3" s="1"/>
  <c r="C31" i="3" s="1"/>
  <c r="C13" i="11"/>
  <c r="C29" i="11" s="1"/>
  <c r="C32" i="11" s="1"/>
  <c r="R3" i="11" l="1"/>
  <c r="C16" i="6"/>
  <c r="C14" i="3"/>
  <c r="C16" i="3" s="1"/>
  <c r="C29" i="3" s="1"/>
  <c r="C32" i="3" s="1"/>
  <c r="C15" i="4"/>
  <c r="C17" i="4" s="1"/>
  <c r="C30" i="4" s="1"/>
  <c r="C33" i="4" s="1"/>
  <c r="C14" i="14"/>
  <c r="C18" i="5"/>
  <c r="C34" i="5" s="1"/>
  <c r="C37" i="5" s="1"/>
  <c r="C14" i="12"/>
  <c r="C16" i="12" s="1"/>
  <c r="C29" i="12" s="1"/>
  <c r="C32" i="12" s="1"/>
  <c r="C15" i="11"/>
  <c r="C15" i="13"/>
  <c r="C18" i="6" l="1"/>
  <c r="C31" i="6" s="1"/>
  <c r="C34" i="6" s="1"/>
  <c r="C16" i="14"/>
  <c r="C29" i="14" s="1"/>
  <c r="C32" i="14" s="1"/>
  <c r="C17" i="13"/>
  <c r="C30" i="13" s="1"/>
  <c r="C33" i="13" s="1"/>
  <c r="C20" i="5"/>
  <c r="C17" i="11"/>
  <c r="C30" i="11" s="1"/>
  <c r="C33" i="11" s="1"/>
  <c r="C10" i="15"/>
  <c r="C26" i="15" s="1"/>
  <c r="C29" i="15" s="1"/>
  <c r="R3" i="5" l="1"/>
  <c r="R6" i="5"/>
  <c r="R8" i="5"/>
  <c r="R10" i="5"/>
  <c r="R12" i="5"/>
  <c r="R5" i="5"/>
  <c r="R9" i="5"/>
  <c r="R11" i="5"/>
  <c r="R13" i="5"/>
  <c r="C22" i="5"/>
  <c r="C35" i="5" s="1"/>
  <c r="C38" i="5" s="1"/>
  <c r="C12" i="15"/>
  <c r="C14" i="15" s="1"/>
  <c r="C27" i="15" s="1"/>
  <c r="C30" i="15" s="1"/>
  <c r="C9" i="7" l="1"/>
  <c r="C25" i="7" s="1"/>
  <c r="C28" i="7" s="1"/>
  <c r="V3" i="7" l="1"/>
  <c r="C11" i="7"/>
  <c r="C13" i="7" l="1"/>
  <c r="C26" i="7" s="1"/>
  <c r="C29" i="7" s="1"/>
</calcChain>
</file>

<file path=xl/sharedStrings.xml><?xml version="1.0" encoding="utf-8"?>
<sst xmlns="http://schemas.openxmlformats.org/spreadsheetml/2006/main" count="773" uniqueCount="284">
  <si>
    <t>Borehole</t>
  </si>
  <si>
    <t>*top 1.4 m is artificial, unconsolidated anthropogenic fill (dredge spoils)</t>
  </si>
  <si>
    <t>*top 0.7 m is artificial, unconsolidated anthropogenic fill (dredge spoils)</t>
  </si>
  <si>
    <t>*top 0.9 m is artificial, unconsolidated anthropogenic fill (dredge spoils)</t>
  </si>
  <si>
    <t>SUBSIDENCE CALCULATION</t>
  </si>
  <si>
    <t>All rejected, borehole is channel fill</t>
  </si>
  <si>
    <t>no mouthbar</t>
  </si>
  <si>
    <t>on mound</t>
  </si>
  <si>
    <t>off mound</t>
  </si>
  <si>
    <t>Overbank thickness (m)</t>
  </si>
  <si>
    <t>Subsidence (m)</t>
  </si>
  <si>
    <t>Subsidence rate (mm/yr)</t>
  </si>
  <si>
    <t xml:space="preserve">SC I-1: 8.90-8.95 </t>
  </si>
  <si>
    <t>RL I-1: 5.30-5.43, RL I-2: 5.63-5.74</t>
  </si>
  <si>
    <t>LR I-1: 4.2-4.35, LR I-2: 5.35-5.40</t>
  </si>
  <si>
    <t>GM I-1: 3.45-3.55, GM I-2: 3.52-3.58</t>
  </si>
  <si>
    <t>FC I-1: 2.40-2.58, FC I-2: 2.66-2.81</t>
  </si>
  <si>
    <t>BC I-1: 4.5-4.55, BC I-2: 4.75-4.80</t>
  </si>
  <si>
    <t>DL I-1: 8.40-8.48, DL I-2: 8.63-8.68</t>
  </si>
  <si>
    <t>CV II-1: 3.17-3.23</t>
  </si>
  <si>
    <t>CV I-1: 4.40-4.45</t>
  </si>
  <si>
    <t>CD I-1: 4.70-4.77, CD I-2: 4.88-4.98</t>
  </si>
  <si>
    <t>uncertainty</t>
  </si>
  <si>
    <t>99% corrected vertical drilling uncertainty</t>
  </si>
  <si>
    <t>Average</t>
  </si>
  <si>
    <t>Total depth uncertainty (m)</t>
  </si>
  <si>
    <t>Standard Deviation (m)</t>
  </si>
  <si>
    <t>Vertical drilling uncertainty (m)</t>
  </si>
  <si>
    <t>LiDAR uncertainty (m)</t>
  </si>
  <si>
    <t>ΔE</t>
  </si>
  <si>
    <t>ΔT</t>
  </si>
  <si>
    <t>Land surface elevation (m NAVD 88)</t>
  </si>
  <si>
    <t>OSL samples</t>
  </si>
  <si>
    <t>Load induced subsidence</t>
  </si>
  <si>
    <t>Total depth (m)</t>
  </si>
  <si>
    <t>Comments</t>
  </si>
  <si>
    <t>OSL age (ka, 2010)</t>
  </si>
  <si>
    <t>Average M-O elevation (m, NAVD 88)</t>
  </si>
  <si>
    <t>MO boundary elevation (m, NAVD 88)</t>
  </si>
  <si>
    <t>99% corrected MO boundary elevation (m, NAVD 88)</t>
  </si>
  <si>
    <t>99% corrected Overbank thickness (m)</t>
  </si>
  <si>
    <t>uncertainty (m)</t>
  </si>
  <si>
    <t>rejected, borehole is channel fill and lacks MO boundary</t>
  </si>
  <si>
    <t>rejected, MO boundary appears eroded by minor channel</t>
  </si>
  <si>
    <t>GL I-1: 3.15-3.20, GL I-2: 3.80-3.85</t>
  </si>
  <si>
    <t>rejected, this is in a channel</t>
  </si>
  <si>
    <t>Anthropogenic mud thickness (m)</t>
  </si>
  <si>
    <t>Corrected for fill overbank thickness (m)</t>
  </si>
  <si>
    <t>99% corrected overbank thickness, corrected for fill (m)</t>
  </si>
  <si>
    <t>Overbank thickness corrected for fill (m)</t>
  </si>
  <si>
    <t>Top peat depth in borehole (m)</t>
  </si>
  <si>
    <t>Radiocarbon age (ka, 2010)</t>
  </si>
  <si>
    <t>Distance inland from coeval shoreline (km)</t>
  </si>
  <si>
    <t>Groundwater gradient (m/km)</t>
  </si>
  <si>
    <t>0.25 cm/km uncertainty</t>
  </si>
  <si>
    <t>% Overbank elevation lost to subsidence</t>
  </si>
  <si>
    <t>Mean</t>
  </si>
  <si>
    <t>top of peat elevation (m, NAVD 88)</t>
  </si>
  <si>
    <t>99% corrected peat top elevation (m, NAVD 88)</t>
  </si>
  <si>
    <t>Average peat top (m, NAVD88)</t>
  </si>
  <si>
    <t>99% corrected peat top elevation (m, NAVD88)</t>
  </si>
  <si>
    <t>Mouth bar formation relative to coeval SL (m, NAVD88)</t>
  </si>
  <si>
    <t>Change in MSL since formation, NAVD88</t>
  </si>
  <si>
    <t>Coeval GW table elevation (m, NAVD88)</t>
  </si>
  <si>
    <t>Peat top formation relative to coeval SL (m, NAVD88)</t>
  </si>
  <si>
    <t>tidesandcurrents.noaa.gov</t>
  </si>
  <si>
    <t>Olliver &amp; Edmonds, 2017</t>
  </si>
  <si>
    <r>
      <t>Hijma et al. 2015; González &amp; T</t>
    </r>
    <r>
      <rPr>
        <sz val="11"/>
        <color theme="1"/>
        <rFont val="Calibri"/>
        <family val="2"/>
      </rPr>
      <t>ö</t>
    </r>
    <r>
      <rPr>
        <sz val="11"/>
        <color theme="1"/>
        <rFont val="Calibri"/>
        <family val="2"/>
        <scheme val="minor"/>
      </rPr>
      <t>rnqvist, 2009; Törnqvist et al., 2006</t>
    </r>
  </si>
  <si>
    <t>Chamberlain et al., 2018</t>
  </si>
  <si>
    <t>uncertainty (mm/yr)</t>
  </si>
  <si>
    <t>Change in MSL since formation (m, NAVD88)</t>
  </si>
  <si>
    <t>Total depth uncertainty (m, NAVD)</t>
  </si>
  <si>
    <t>González &amp; Törnqvist, 2009</t>
  </si>
  <si>
    <r>
      <t>T</t>
    </r>
    <r>
      <rPr>
        <sz val="11"/>
        <color theme="1"/>
        <rFont val="Calibri"/>
        <family val="2"/>
      </rPr>
      <t>ö</t>
    </r>
    <r>
      <rPr>
        <sz val="11"/>
        <color theme="1"/>
        <rFont val="Calibri"/>
        <family val="2"/>
        <scheme val="minor"/>
      </rPr>
      <t>rnqvist et al., 2008</t>
    </r>
  </si>
  <si>
    <t>Overbank, below formation datum (m)</t>
  </si>
  <si>
    <t>% Overbank below formation datum</t>
  </si>
  <si>
    <t>Elevation of mouth bar top at formation (m, NAVD88)</t>
  </si>
  <si>
    <t>Elevation of peat top at formation (m, NAVD88)</t>
  </si>
  <si>
    <t>% uncertainty</t>
  </si>
  <si>
    <t>uncertainty (ka)</t>
  </si>
  <si>
    <t>Mean high tide (m, NAVD88)</t>
  </si>
  <si>
    <t>ΔRSL</t>
  </si>
  <si>
    <r>
      <t>E</t>
    </r>
    <r>
      <rPr>
        <b/>
        <i/>
        <vertAlign val="subscript"/>
        <sz val="11"/>
        <color theme="1"/>
        <rFont val="Calibri"/>
        <family val="2"/>
        <scheme val="minor"/>
      </rPr>
      <t>1</t>
    </r>
  </si>
  <si>
    <r>
      <rPr>
        <b/>
        <i/>
        <sz val="11"/>
        <color theme="1"/>
        <rFont val="Calibri"/>
        <family val="2"/>
        <scheme val="minor"/>
      </rPr>
      <t>E</t>
    </r>
    <r>
      <rPr>
        <b/>
        <i/>
        <vertAlign val="subscript"/>
        <sz val="11"/>
        <color theme="1"/>
        <rFont val="Calibri"/>
        <family val="2"/>
        <scheme val="minor"/>
      </rPr>
      <t>1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uncertainty</t>
    </r>
  </si>
  <si>
    <r>
      <t>E</t>
    </r>
    <r>
      <rPr>
        <b/>
        <i/>
        <vertAlign val="subscript"/>
        <sz val="11"/>
        <color theme="1"/>
        <rFont val="Calibri"/>
        <family val="2"/>
        <scheme val="minor"/>
      </rPr>
      <t>0</t>
    </r>
  </si>
  <si>
    <t>S</t>
  </si>
  <si>
    <t>Boreholes excluded by Tornqvist et al. (2008) for underlying sand body</t>
  </si>
  <si>
    <t>Reference: Törnqvist, T. E., Wallace, D. J., Storms, J. E. A., Wallinga, J., Van Dam, R. L., Blaauw, M., et al. (2008). Mississippi Delta subsidence primarily caused by compaction of Holocene strata. Nature Geoscience, 1(3), 173-176</t>
  </si>
  <si>
    <t>99% corrected M-O elevation (m, NAVD 88)</t>
  </si>
  <si>
    <t>UTM (15 N, NAD27)</t>
  </si>
  <si>
    <t>717570E, 3292940N</t>
  </si>
  <si>
    <t>UTM (15 N, NAD83)</t>
  </si>
  <si>
    <t>717420E, 3294560N</t>
  </si>
  <si>
    <t>717560E, 3294830N</t>
  </si>
  <si>
    <t>717630E, 3294970N</t>
  </si>
  <si>
    <t>717690E, 3295080N</t>
  </si>
  <si>
    <t>717850E, 3295380N</t>
  </si>
  <si>
    <t>717970E, 3295620N</t>
  </si>
  <si>
    <t>732560E, 3289270N</t>
  </si>
  <si>
    <t>732680E, 3289450N</t>
  </si>
  <si>
    <t>732840E, 3289630N</t>
  </si>
  <si>
    <t>733050E, 3289900N</t>
  </si>
  <si>
    <t>733310E, 3290410N</t>
  </si>
  <si>
    <t>733570E, 3290630N</t>
  </si>
  <si>
    <t>748960E, 3274950N</t>
  </si>
  <si>
    <t>749020E, 3275160N</t>
  </si>
  <si>
    <t>749050E, 3275250N</t>
  </si>
  <si>
    <t>749070E, 3275330N</t>
  </si>
  <si>
    <t>749090E, 3275390N</t>
  </si>
  <si>
    <t>749990E, 3275550N</t>
  </si>
  <si>
    <t>750010E, 3275640N</t>
  </si>
  <si>
    <t>761070E, 3260970N</t>
  </si>
  <si>
    <t>761570E, 3260960N</t>
  </si>
  <si>
    <t>761640E, 3260990N</t>
  </si>
  <si>
    <t>761790E, 3261040N</t>
  </si>
  <si>
    <t>761710E, 3261010N</t>
  </si>
  <si>
    <t>761900E, 3261070N</t>
  </si>
  <si>
    <t>762090E, 3261150N</t>
  </si>
  <si>
    <t>762260E, 3261210N</t>
  </si>
  <si>
    <t>762460E, 3261290N</t>
  </si>
  <si>
    <t>762640E, 3261370N</t>
  </si>
  <si>
    <t>763130E, 3261560N</t>
  </si>
  <si>
    <t>763680E, 3261770N</t>
  </si>
  <si>
    <t>763700E, 3256590N</t>
  </si>
  <si>
    <t>763180E, 3256650N</t>
  </si>
  <si>
    <t>764210E, 3256820N</t>
  </si>
  <si>
    <t>764350E, 3256960N</t>
  </si>
  <si>
    <t>764480E, 3257070N</t>
  </si>
  <si>
    <t>764520E, 3257120N</t>
  </si>
  <si>
    <t>764610E, 3257200N</t>
  </si>
  <si>
    <t>764720E, 3257310N</t>
  </si>
  <si>
    <t>772510E, 3227620N</t>
  </si>
  <si>
    <t>772730E, 3227670N</t>
  </si>
  <si>
    <t>773090E, 3227810N</t>
  </si>
  <si>
    <t>713960E, 3278540N</t>
  </si>
  <si>
    <t>714880E, 3279360N</t>
  </si>
  <si>
    <t>715540E, 3279900N</t>
  </si>
  <si>
    <t>715730E, 3280090N</t>
  </si>
  <si>
    <t>716300E, 3280130N</t>
  </si>
  <si>
    <t>723165E, 3257425N</t>
  </si>
  <si>
    <t>723205E, 3257425N</t>
  </si>
  <si>
    <t>723225E, 3257430N</t>
  </si>
  <si>
    <t>723235E, 3257425N</t>
  </si>
  <si>
    <t>723250E, 3257420N</t>
  </si>
  <si>
    <t>723320E, 3257430N</t>
  </si>
  <si>
    <t>723400E, 3257430N</t>
  </si>
  <si>
    <t>732590E, 3260590N</t>
  </si>
  <si>
    <t>732940E, 3260490N</t>
  </si>
  <si>
    <t>733040E, 3260460N</t>
  </si>
  <si>
    <t>733110E, 3260430N</t>
  </si>
  <si>
    <t>733180E, 3260410N</t>
  </si>
  <si>
    <t>733380E, 3260340N</t>
  </si>
  <si>
    <t>727240E, 3238530N</t>
  </si>
  <si>
    <t>727300E, 3238520N</t>
  </si>
  <si>
    <t xml:space="preserve">727350E, 3238520N </t>
  </si>
  <si>
    <t>Gesch, D. B. (2018). Best practices for elevation-based assessments of sea-level rise and coastal flooding exposure. Frontiers in Earth Science, 6, 230.</t>
  </si>
  <si>
    <t>References</t>
  </si>
  <si>
    <t>Olliver, E. A., &amp; Edmonds, D. A. (2017). Defining the ecogeomorphic succession of land building for freshwater, intertidal wetlands in Wax Lake Delta, Louisiana. Estuarine, coastal and shelf science, 196, 45-57.</t>
  </si>
  <si>
    <t>González, J. L., &amp; Törnqvist, T. E. (2009). A new Late Holocene sea-level record from the Mississippi Delta: evidence for a climate/sea level connection? Quaternary Science Reviews, 28(17-18), 1737-1749.</t>
  </si>
  <si>
    <t>Chamberlain, E. L., Törnqvist, T. E., Shen, Z., Mauz, B., &amp; Wallinga, J. (2018). Anatomy of Mississippi Delta growth and its implications for coastal restoration. Science Advances, 4(4), eaar4740.</t>
  </si>
  <si>
    <t>Törnqvist, T. E., Wallace, D. J., Storms, J. E. A., Wallinga, J., Van Dam, R. L., Blaauw, M., et al. (2008). Mississippi Delta subsidence primarily caused by compaction of Holocene strata. Nature Geoscience, 1(3), 173-176.</t>
  </si>
  <si>
    <t>694660E, 3317980N</t>
  </si>
  <si>
    <t>692820E, 3318180N</t>
  </si>
  <si>
    <t>693720E, 3318040N</t>
  </si>
  <si>
    <t>692360E, 3318200N</t>
  </si>
  <si>
    <t>681920E, 3315780N</t>
  </si>
  <si>
    <t>686440E, 3315400N</t>
  </si>
  <si>
    <t>686560E, 3315260N</t>
  </si>
  <si>
    <t>686280E, 3315520N</t>
  </si>
  <si>
    <t>686880E, 3315040N</t>
  </si>
  <si>
    <t>684100E, 3317800N</t>
  </si>
  <si>
    <t>690320E, 3310000N</t>
  </si>
  <si>
    <t>687180E, 3319380N</t>
  </si>
  <si>
    <t>687000E, 3319280N</t>
  </si>
  <si>
    <t>686820E, 3319200N</t>
  </si>
  <si>
    <t>686660E, 3319120N</t>
  </si>
  <si>
    <t>686520E, 3319040N</t>
  </si>
  <si>
    <t>686360E, 3318960N</t>
  </si>
  <si>
    <t>686200E, 3318880N</t>
  </si>
  <si>
    <t>686040E, 3318800N</t>
  </si>
  <si>
    <t>685880E, 3318680N</t>
  </si>
  <si>
    <t>685700E, 3318560N</t>
  </si>
  <si>
    <t>685560E, 3318480N</t>
  </si>
  <si>
    <t>685320E, 3318360N</t>
  </si>
  <si>
    <t>685200E, 3318240N</t>
  </si>
  <si>
    <t>684920E, 3318240N</t>
  </si>
  <si>
    <t>684760E, 3318140N</t>
  </si>
  <si>
    <t>684580E, 3318060N</t>
  </si>
  <si>
    <t>684400E, 3317960N</t>
  </si>
  <si>
    <t>684220E, 3317860N</t>
  </si>
  <si>
    <t>684020E, 3317760N</t>
  </si>
  <si>
    <t>683820E, 3317660N</t>
  </si>
  <si>
    <t>683660E, 3317580N</t>
  </si>
  <si>
    <t>683540E, 3317440N</t>
  </si>
  <si>
    <t>683360E, 3317340N</t>
  </si>
  <si>
    <t>683760E, 3317620N</t>
  </si>
  <si>
    <t>684500E, 3318180N</t>
  </si>
  <si>
    <t>684840E, 3318180N</t>
  </si>
  <si>
    <t>685280E, 3318280N</t>
  </si>
  <si>
    <t>685640E, 3318520N</t>
  </si>
  <si>
    <t>685980E, 3318720N</t>
  </si>
  <si>
    <t>686280E, 3318920N</t>
  </si>
  <si>
    <t>686580E, 3319080N</t>
  </si>
  <si>
    <t>686920E, 3319240N</t>
  </si>
  <si>
    <t>687280E, 3319420N</t>
  </si>
  <si>
    <t>685260E, 3318000N</t>
  </si>
  <si>
    <t>685360E, 3317820N</t>
  </si>
  <si>
    <t>685440E, 3317660N</t>
  </si>
  <si>
    <t>685560E, 3317500N</t>
  </si>
  <si>
    <t>685660E, 3317320N</t>
  </si>
  <si>
    <t>685800E, 3317180N</t>
  </si>
  <si>
    <t>685960E, 3317080N</t>
  </si>
  <si>
    <t>686140E, 3316960N</t>
  </si>
  <si>
    <t>686300E, 3316860N</t>
  </si>
  <si>
    <t>686480E, 3316740N</t>
  </si>
  <si>
    <t>686640E, 3316640N</t>
  </si>
  <si>
    <t>685240E, 3318460N</t>
  </si>
  <si>
    <t>685180E, 3318640N</t>
  </si>
  <si>
    <t>685080E, 3318820N</t>
  </si>
  <si>
    <t>685000E, 3319000N</t>
  </si>
  <si>
    <t>684900E, 3319180N</t>
  </si>
  <si>
    <t>684800E, 3319320N</t>
  </si>
  <si>
    <t>684760E, 3319520N</t>
  </si>
  <si>
    <t>684700E, 3319940N</t>
  </si>
  <si>
    <t>684720E, 3319720N</t>
  </si>
  <si>
    <t>686560E, 3316680N</t>
  </si>
  <si>
    <t>686220E, 3316920N</t>
  </si>
  <si>
    <t>685880E, 3317120N</t>
  </si>
  <si>
    <t>685540E, 3317400N</t>
  </si>
  <si>
    <t>685400E, 3317720N</t>
  </si>
  <si>
    <t>685220E, 3318100N</t>
  </si>
  <si>
    <t>685220E, 3318540N</t>
  </si>
  <si>
    <t>685040E, 3318900N</t>
  </si>
  <si>
    <t>684860E, 3319240N</t>
  </si>
  <si>
    <t>684740E, 3319620N</t>
  </si>
  <si>
    <t>684700E, 3320040N</t>
  </si>
  <si>
    <t>686860E, 3316600N</t>
  </si>
  <si>
    <t>686940E, 3316540N</t>
  </si>
  <si>
    <t>687040E, 3316480N</t>
  </si>
  <si>
    <t>694460E, 3314520N</t>
  </si>
  <si>
    <t>693960E, 3313840N</t>
  </si>
  <si>
    <t>684880E, 3316640N</t>
  </si>
  <si>
    <t>692240E, 3311520N</t>
  </si>
  <si>
    <t>693200E, 3312880N</t>
  </si>
  <si>
    <t>693280E, 3313020N</t>
  </si>
  <si>
    <t>693360E, 3313160N</t>
  </si>
  <si>
    <t>685780E, 3317260N</t>
  </si>
  <si>
    <t>685600E, 3317060N</t>
  </si>
  <si>
    <t>686040E, 3317520N</t>
  </si>
  <si>
    <t>685620E, 3320200N</t>
  </si>
  <si>
    <t>683960E, 3320220N</t>
  </si>
  <si>
    <t>685420E, 3317680N</t>
  </si>
  <si>
    <t>685620E, 3317760N</t>
  </si>
  <si>
    <t>685200E, 3317560N</t>
  </si>
  <si>
    <t>684240E, 3317040N</t>
  </si>
  <si>
    <t>685760E, 3317860N</t>
  </si>
  <si>
    <t>684600E, 3317200N</t>
  </si>
  <si>
    <t>685040E, 3317460N</t>
  </si>
  <si>
    <t>685960E, 3317960N</t>
  </si>
  <si>
    <t>684840E, 3317360N</t>
  </si>
  <si>
    <t>686160E, 3318000N</t>
  </si>
  <si>
    <t>693120E, 3312800N</t>
  </si>
  <si>
    <t>694420E, 3314420N</t>
  </si>
  <si>
    <t>694320E, 3314280N</t>
  </si>
  <si>
    <t>Hijma, M. P., Engelhart, S. E., Törnqvist, T. E., Horton, B. P., Hu, P., &amp; Hill, D. F. (2015). A protocol for a geological sea-level database. Handbook of Sea-Level Research, edited by: Shennan, I., Long, AJ, and Horton, BP, Wiley Blackwell, 536-553.</t>
  </si>
  <si>
    <t>Standard deviation</t>
  </si>
  <si>
    <t>Standard error</t>
  </si>
  <si>
    <t>M-O boundary depth in borehole (m)</t>
  </si>
  <si>
    <t>M-O boundary elevation (m, NAVD 88)</t>
  </si>
  <si>
    <t>99% corrected M-O boundary elevation (m, NAVD 88)</t>
  </si>
  <si>
    <t>Site: Paintcourville</t>
  </si>
  <si>
    <t>Transect: Cocodrie</t>
  </si>
  <si>
    <t>Transect: Chauvin</t>
  </si>
  <si>
    <t>Transect: Dulac</t>
  </si>
  <si>
    <t>Transect: Bayou Cane</t>
  </si>
  <si>
    <t>Transect: Fourchon</t>
  </si>
  <si>
    <t>Transect: Golden Meadow</t>
  </si>
  <si>
    <t>Transect: Galliano</t>
  </si>
  <si>
    <t>Transect: Larose</t>
  </si>
  <si>
    <t>Transect: Raceland</t>
  </si>
  <si>
    <t>Transect: St. Charles</t>
  </si>
  <si>
    <t>Cunningham, R., Gisclair, D., &amp; Craig, J. (2004). The Louisiana statewide lidar project. ftp://ftp-fc.sc.egov.usda.gov/NCGC/products/elevation/la-lidar-project.pdf.</t>
  </si>
  <si>
    <t>Cunningham et al., 2004; Gesch, 2018</t>
  </si>
  <si>
    <t>Törnqvist, T.E., Bick, S. J., van der Borg, K., &amp; de Jong, A. F. (2006). How stable is the Mississippi Delta? Geology, 34(8), 697-700.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</si>
</sst>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4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134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i/>
      <vertAlign val="sub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63D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3" fillId="4" borderId="0" applyNumberFormat="0" applyBorder="0" applyAlignment="0" applyProtection="0"/>
    <xf numFmtId="0" fontId="7" fillId="0" borderId="0">
      <alignment vertical="center"/>
    </xf>
    <xf numFmtId="0" fontId="10" fillId="0" borderId="0"/>
    <xf numFmtId="0" fontId="11" fillId="0" borderId="0"/>
  </cellStyleXfs>
  <cellXfs count="167">
    <xf numFmtId="0" fontId="0" fillId="0" borderId="0" xfId="0"/>
    <xf numFmtId="0" fontId="2" fillId="0" borderId="0" xfId="0" applyFont="1"/>
    <xf numFmtId="0" fontId="0" fillId="0" borderId="0" xfId="0" applyFont="1"/>
    <xf numFmtId="165" fontId="0" fillId="0" borderId="0" xfId="0" applyNumberForma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2" fillId="0" borderId="0" xfId="0" applyFont="1" applyFill="1" applyAlignment="1">
      <alignment wrapText="1"/>
    </xf>
    <xf numFmtId="2" fontId="0" fillId="0" borderId="0" xfId="0" applyNumberFormat="1"/>
    <xf numFmtId="0" fontId="0" fillId="0" borderId="0" xfId="0" applyFill="1"/>
    <xf numFmtId="0" fontId="2" fillId="0" borderId="0" xfId="0" applyFont="1" applyFill="1"/>
    <xf numFmtId="0" fontId="1" fillId="0" borderId="0" xfId="1" applyFill="1"/>
    <xf numFmtId="165" fontId="0" fillId="0" borderId="0" xfId="0" applyNumberFormat="1" applyFill="1"/>
    <xf numFmtId="2" fontId="5" fillId="3" borderId="0" xfId="2" applyNumberFormat="1" applyFont="1" applyFill="1"/>
    <xf numFmtId="2" fontId="0" fillId="5" borderId="0" xfId="0" applyNumberFormat="1" applyFill="1"/>
    <xf numFmtId="0" fontId="3" fillId="0" borderId="0" xfId="2" applyFill="1"/>
    <xf numFmtId="2" fontId="0" fillId="0" borderId="0" xfId="0" applyNumberFormat="1" applyFill="1"/>
    <xf numFmtId="0" fontId="0" fillId="0" borderId="0" xfId="0" applyFill="1" applyAlignment="1">
      <alignment wrapText="1"/>
    </xf>
    <xf numFmtId="165" fontId="3" fillId="0" borderId="0" xfId="2" applyNumberFormat="1" applyFill="1"/>
    <xf numFmtId="2" fontId="3" fillId="0" borderId="0" xfId="2" applyNumberFormat="1" applyFill="1"/>
    <xf numFmtId="165" fontId="4" fillId="0" borderId="0" xfId="2" applyNumberFormat="1" applyFont="1" applyFill="1"/>
    <xf numFmtId="0" fontId="0" fillId="0" borderId="0" xfId="0"/>
    <xf numFmtId="0" fontId="8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5" fillId="6" borderId="0" xfId="1" applyFont="1" applyFill="1"/>
    <xf numFmtId="165" fontId="5" fillId="6" borderId="0" xfId="1" applyNumberFormat="1" applyFont="1" applyFill="1" applyAlignment="1">
      <alignment horizontal="right"/>
    </xf>
    <xf numFmtId="0" fontId="5" fillId="6" borderId="0" xfId="0" applyFont="1" applyFill="1"/>
    <xf numFmtId="165" fontId="5" fillId="6" borderId="0" xfId="1" applyNumberFormat="1" applyFont="1" applyFill="1"/>
    <xf numFmtId="2" fontId="5" fillId="0" borderId="0" xfId="2" applyNumberFormat="1" applyFont="1" applyFill="1"/>
    <xf numFmtId="2" fontId="5" fillId="5" borderId="0" xfId="2" applyNumberFormat="1" applyFont="1" applyFill="1" applyAlignment="1">
      <alignment horizontal="right"/>
    </xf>
    <xf numFmtId="2" fontId="5" fillId="5" borderId="0" xfId="2" applyNumberFormat="1" applyFont="1" applyFill="1"/>
    <xf numFmtId="165" fontId="5" fillId="6" borderId="0" xfId="0" applyNumberFormat="1" applyFont="1" applyFill="1"/>
    <xf numFmtId="0" fontId="8" fillId="0" borderId="0" xfId="0" applyFont="1" applyAlignment="1">
      <alignment horizontal="center"/>
    </xf>
    <xf numFmtId="0" fontId="0" fillId="7" borderId="0" xfId="0" applyFill="1" applyAlignment="1">
      <alignment horizontal="left" wrapText="1"/>
    </xf>
    <xf numFmtId="0" fontId="0" fillId="7" borderId="0" xfId="0" applyFill="1" applyAlignment="1">
      <alignment wrapText="1"/>
    </xf>
    <xf numFmtId="2" fontId="0" fillId="7" borderId="0" xfId="0" applyNumberFormat="1" applyFill="1"/>
    <xf numFmtId="2" fontId="5" fillId="7" borderId="0" xfId="1" applyNumberFormat="1" applyFont="1" applyFill="1"/>
    <xf numFmtId="2" fontId="5" fillId="7" borderId="0" xfId="0" applyNumberFormat="1" applyFont="1" applyFill="1"/>
    <xf numFmtId="2" fontId="0" fillId="6" borderId="0" xfId="0" applyNumberFormat="1" applyFill="1"/>
    <xf numFmtId="0" fontId="5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0" fillId="6" borderId="0" xfId="0" applyFill="1"/>
    <xf numFmtId="0" fontId="2" fillId="0" borderId="0" xfId="0" applyFont="1"/>
    <xf numFmtId="0" fontId="0" fillId="0" borderId="0" xfId="0" applyFill="1" applyAlignment="1">
      <alignment wrapText="1"/>
    </xf>
    <xf numFmtId="0" fontId="5" fillId="6" borderId="0" xfId="0" applyFont="1" applyFill="1"/>
    <xf numFmtId="165" fontId="0" fillId="6" borderId="0" xfId="0" applyNumberFormat="1" applyFill="1"/>
    <xf numFmtId="0" fontId="0" fillId="0" borderId="0" xfId="0" applyAlignment="1">
      <alignment horizontal="left" wrapText="1"/>
    </xf>
    <xf numFmtId="165" fontId="5" fillId="6" borderId="0" xfId="1" applyNumberFormat="1" applyFont="1" applyFill="1"/>
    <xf numFmtId="0" fontId="0" fillId="0" borderId="0" xfId="0" applyAlignment="1">
      <alignment wrapText="1"/>
    </xf>
    <xf numFmtId="0" fontId="5" fillId="0" borderId="0" xfId="0" applyFont="1"/>
    <xf numFmtId="0" fontId="5" fillId="6" borderId="0" xfId="0" applyFont="1" applyFill="1" applyAlignment="1">
      <alignment wrapText="1"/>
    </xf>
    <xf numFmtId="0" fontId="8" fillId="0" borderId="0" xfId="0" applyFont="1" applyFill="1"/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0" fontId="2" fillId="0" borderId="0" xfId="0" applyFont="1" applyFill="1"/>
    <xf numFmtId="0" fontId="1" fillId="0" borderId="0" xfId="1" applyFill="1"/>
    <xf numFmtId="165" fontId="0" fillId="0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wrapText="1"/>
    </xf>
    <xf numFmtId="165" fontId="3" fillId="0" borderId="0" xfId="2" applyNumberFormat="1" applyFill="1"/>
    <xf numFmtId="0" fontId="0" fillId="0" borderId="0" xfId="0" applyAlignment="1">
      <alignment horizontal="left" wrapText="1"/>
    </xf>
    <xf numFmtId="0" fontId="5" fillId="6" borderId="0" xfId="1" applyFont="1" applyFill="1"/>
    <xf numFmtId="0" fontId="5" fillId="6" borderId="0" xfId="0" applyFont="1" applyFill="1"/>
    <xf numFmtId="165" fontId="5" fillId="6" borderId="0" xfId="1" applyNumberFormat="1" applyFont="1" applyFill="1"/>
    <xf numFmtId="0" fontId="0" fillId="7" borderId="0" xfId="0" applyFill="1" applyAlignment="1">
      <alignment horizontal="left" wrapText="1"/>
    </xf>
    <xf numFmtId="0" fontId="0" fillId="7" borderId="0" xfId="0" applyFill="1" applyAlignment="1">
      <alignment wrapText="1"/>
    </xf>
    <xf numFmtId="2" fontId="0" fillId="7" borderId="0" xfId="0" applyNumberFormat="1" applyFill="1"/>
    <xf numFmtId="2" fontId="5" fillId="7" borderId="0" xfId="1" applyNumberFormat="1" applyFont="1" applyFill="1"/>
    <xf numFmtId="2" fontId="5" fillId="7" borderId="0" xfId="0" applyNumberFormat="1" applyFont="1" applyFill="1"/>
    <xf numFmtId="2" fontId="0" fillId="6" borderId="0" xfId="0" applyNumberFormat="1" applyFill="1"/>
    <xf numFmtId="164" fontId="5" fillId="6" borderId="0" xfId="1" applyNumberFormat="1" applyFont="1" applyFill="1"/>
    <xf numFmtId="164" fontId="1" fillId="0" borderId="0" xfId="1" applyNumberFormat="1" applyFill="1"/>
    <xf numFmtId="0" fontId="0" fillId="0" borderId="0" xfId="0" applyFont="1" applyFill="1"/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0" fontId="2" fillId="0" borderId="0" xfId="0" applyFont="1" applyFill="1"/>
    <xf numFmtId="0" fontId="1" fillId="0" borderId="0" xfId="1" applyFill="1"/>
    <xf numFmtId="165" fontId="0" fillId="0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wrapText="1"/>
    </xf>
    <xf numFmtId="0" fontId="0" fillId="0" borderId="0" xfId="0" applyAlignment="1">
      <alignment horizontal="left" wrapText="1"/>
    </xf>
    <xf numFmtId="0" fontId="5" fillId="6" borderId="0" xfId="1" applyFont="1" applyFill="1"/>
    <xf numFmtId="165" fontId="5" fillId="6" borderId="0" xfId="1" applyNumberFormat="1" applyFont="1" applyFill="1" applyAlignment="1">
      <alignment horizontal="right"/>
    </xf>
    <xf numFmtId="0" fontId="5" fillId="6" borderId="0" xfId="0" applyFont="1" applyFill="1"/>
    <xf numFmtId="165" fontId="5" fillId="6" borderId="0" xfId="1" applyNumberFormat="1" applyFont="1" applyFill="1"/>
    <xf numFmtId="0" fontId="0" fillId="7" borderId="0" xfId="0" applyFill="1" applyAlignment="1">
      <alignment horizontal="left" wrapText="1"/>
    </xf>
    <xf numFmtId="0" fontId="0" fillId="7" borderId="0" xfId="0" applyFill="1" applyAlignment="1">
      <alignment wrapText="1"/>
    </xf>
    <xf numFmtId="2" fontId="0" fillId="7" borderId="0" xfId="0" applyNumberFormat="1" applyFill="1"/>
    <xf numFmtId="2" fontId="5" fillId="7" borderId="0" xfId="1" applyNumberFormat="1" applyFont="1" applyFill="1"/>
    <xf numFmtId="2" fontId="5" fillId="7" borderId="0" xfId="0" applyNumberFormat="1" applyFont="1" applyFill="1"/>
    <xf numFmtId="2" fontId="0" fillId="6" borderId="0" xfId="0" applyNumberFormat="1" applyFill="1"/>
    <xf numFmtId="0" fontId="0" fillId="6" borderId="0" xfId="0" applyFill="1" applyAlignment="1">
      <alignment horizontal="left" vertical="top" wrapText="1"/>
    </xf>
    <xf numFmtId="0" fontId="5" fillId="6" borderId="0" xfId="1" applyFont="1" applyFill="1" applyAlignment="1">
      <alignment horizontal="right"/>
    </xf>
    <xf numFmtId="164" fontId="5" fillId="6" borderId="0" xfId="1" applyNumberFormat="1" applyFont="1" applyFill="1" applyAlignment="1">
      <alignment horizontal="right"/>
    </xf>
    <xf numFmtId="0" fontId="0" fillId="6" borderId="0" xfId="0" applyFill="1" applyAlignment="1">
      <alignment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0" fontId="2" fillId="0" borderId="0" xfId="0" applyFont="1" applyFill="1"/>
    <xf numFmtId="165" fontId="0" fillId="0" borderId="0" xfId="0" applyNumberFormat="1" applyFill="1"/>
    <xf numFmtId="2" fontId="0" fillId="5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wrapText="1"/>
    </xf>
    <xf numFmtId="165" fontId="3" fillId="0" borderId="0" xfId="2" applyNumberFormat="1" applyFill="1"/>
    <xf numFmtId="0" fontId="0" fillId="0" borderId="0" xfId="0" applyAlignment="1">
      <alignment horizontal="left" wrapText="1"/>
    </xf>
    <xf numFmtId="165" fontId="5" fillId="6" borderId="0" xfId="1" applyNumberFormat="1" applyFont="1" applyFill="1" applyAlignment="1">
      <alignment horizontal="right"/>
    </xf>
    <xf numFmtId="0" fontId="5" fillId="6" borderId="0" xfId="0" applyFont="1" applyFill="1"/>
    <xf numFmtId="165" fontId="5" fillId="6" borderId="0" xfId="1" applyNumberFormat="1" applyFont="1" applyFill="1"/>
    <xf numFmtId="2" fontId="5" fillId="0" borderId="0" xfId="2" applyNumberFormat="1" applyFont="1" applyFill="1"/>
    <xf numFmtId="165" fontId="5" fillId="6" borderId="0" xfId="0" applyNumberFormat="1" applyFont="1" applyFill="1"/>
    <xf numFmtId="0" fontId="0" fillId="7" borderId="0" xfId="0" applyFill="1" applyAlignment="1">
      <alignment horizontal="left" wrapText="1"/>
    </xf>
    <xf numFmtId="0" fontId="0" fillId="7" borderId="0" xfId="0" applyFill="1" applyAlignment="1">
      <alignment wrapText="1"/>
    </xf>
    <xf numFmtId="2" fontId="0" fillId="7" borderId="0" xfId="0" applyNumberFormat="1" applyFill="1"/>
    <xf numFmtId="2" fontId="5" fillId="7" borderId="0" xfId="1" applyNumberFormat="1" applyFont="1" applyFill="1"/>
    <xf numFmtId="2" fontId="5" fillId="7" borderId="0" xfId="0" applyNumberFormat="1" applyFont="1" applyFill="1"/>
    <xf numFmtId="2" fontId="0" fillId="6" borderId="0" xfId="0" applyNumberFormat="1" applyFill="1"/>
    <xf numFmtId="0" fontId="1" fillId="0" borderId="0" xfId="1" applyFill="1" applyAlignment="1">
      <alignment horizontal="right"/>
    </xf>
    <xf numFmtId="164" fontId="1" fillId="0" borderId="0" xfId="1" applyNumberFormat="1" applyFill="1" applyAlignment="1">
      <alignment horizontal="right"/>
    </xf>
    <xf numFmtId="0" fontId="0" fillId="0" borderId="0" xfId="0" applyFill="1" applyAlignment="1">
      <alignment horizontal="left" wrapText="1"/>
    </xf>
    <xf numFmtId="2" fontId="5" fillId="6" borderId="0" xfId="0" applyNumberFormat="1" applyFont="1" applyFill="1"/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8" borderId="0" xfId="0" applyFill="1"/>
    <xf numFmtId="164" fontId="0" fillId="9" borderId="0" xfId="0" applyNumberFormat="1" applyFill="1"/>
    <xf numFmtId="2" fontId="5" fillId="0" borderId="0" xfId="2" applyNumberFormat="1" applyFont="1" applyFill="1"/>
    <xf numFmtId="2" fontId="0" fillId="0" borderId="0" xfId="0" applyNumberFormat="1" applyFill="1"/>
    <xf numFmtId="2" fontId="0" fillId="6" borderId="0" xfId="0" applyNumberFormat="1" applyFill="1"/>
    <xf numFmtId="0" fontId="0" fillId="0" borderId="0" xfId="0" applyFill="1"/>
    <xf numFmtId="0" fontId="0" fillId="7" borderId="0" xfId="0" applyFill="1" applyAlignment="1">
      <alignment horizontal="left" wrapText="1"/>
    </xf>
    <xf numFmtId="2" fontId="0" fillId="7" borderId="0" xfId="0" applyNumberFormat="1" applyFill="1"/>
    <xf numFmtId="2" fontId="5" fillId="7" borderId="0" xfId="1" applyNumberFormat="1" applyFont="1" applyFill="1"/>
    <xf numFmtId="164" fontId="0" fillId="6" borderId="0" xfId="0" applyNumberFormat="1" applyFill="1"/>
    <xf numFmtId="165" fontId="5" fillId="6" borderId="0" xfId="4" applyNumberFormat="1" applyFont="1" applyFill="1"/>
    <xf numFmtId="1" fontId="11" fillId="0" borderId="0" xfId="5" applyNumberFormat="1" applyFill="1"/>
    <xf numFmtId="2" fontId="5" fillId="8" borderId="0" xfId="2" applyNumberFormat="1" applyFont="1" applyFill="1"/>
    <xf numFmtId="1" fontId="5" fillId="8" borderId="0" xfId="2" applyNumberFormat="1" applyFont="1" applyFill="1"/>
    <xf numFmtId="1" fontId="5" fillId="0" borderId="0" xfId="4" applyNumberFormat="1" applyFont="1" applyFill="1"/>
    <xf numFmtId="2" fontId="0" fillId="0" borderId="0" xfId="0" applyNumberFormat="1" applyFill="1" applyAlignment="1">
      <alignment wrapText="1"/>
    </xf>
    <xf numFmtId="0" fontId="5" fillId="10" borderId="0" xfId="0" applyFont="1" applyFill="1"/>
    <xf numFmtId="0" fontId="0" fillId="10" borderId="0" xfId="0" applyFill="1"/>
    <xf numFmtId="2" fontId="0" fillId="8" borderId="0" xfId="0" applyNumberFormat="1" applyFill="1"/>
    <xf numFmtId="165" fontId="11" fillId="6" borderId="0" xfId="5" applyNumberFormat="1" applyFill="1"/>
    <xf numFmtId="0" fontId="2" fillId="0" borderId="0" xfId="0" applyFont="1" applyAlignment="1">
      <alignment horizontal="center"/>
    </xf>
    <xf numFmtId="0" fontId="0" fillId="11" borderId="0" xfId="0" applyFill="1"/>
    <xf numFmtId="0" fontId="2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0" xfId="1" applyFont="1" applyFill="1"/>
    <xf numFmtId="0" fontId="5" fillId="6" borderId="0" xfId="1" applyFont="1" applyFill="1" applyAlignment="1">
      <alignment horizontal="left"/>
    </xf>
    <xf numFmtId="164" fontId="5" fillId="6" borderId="0" xfId="1" applyNumberFormat="1" applyFont="1" applyFill="1" applyAlignment="1">
      <alignment horizontal="left"/>
    </xf>
    <xf numFmtId="0" fontId="5" fillId="0" borderId="0" xfId="0" applyFont="1" applyAlignment="1">
      <alignment horizontal="left"/>
    </xf>
    <xf numFmtId="0" fontId="13" fillId="0" borderId="0" xfId="0" applyFont="1"/>
    <xf numFmtId="164" fontId="0" fillId="6" borderId="0" xfId="0" applyNumberFormat="1" applyFill="1" applyAlignment="1">
      <alignment horizontal="left"/>
    </xf>
    <xf numFmtId="0" fontId="2" fillId="0" borderId="0" xfId="0" applyFont="1" applyAlignment="1">
      <alignment horizontal="center"/>
    </xf>
  </cellXfs>
  <cellStyles count="6">
    <cellStyle name="Good" xfId="2" builtinId="26"/>
    <cellStyle name="Neutral" xfId="1" builtinId="28"/>
    <cellStyle name="Normal" xfId="0" builtinId="0"/>
    <cellStyle name="Normal 2" xfId="4" xr:uid="{00000000-0005-0000-0000-000003000000}"/>
    <cellStyle name="Normal 3" xfId="3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colors>
    <mruColors>
      <color rgb="FF00863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6"/>
  <sheetViews>
    <sheetView zoomScale="90" zoomScaleNormal="90" workbookViewId="0">
      <selection activeCell="A16" sqref="A16"/>
    </sheetView>
  </sheetViews>
  <sheetFormatPr defaultRowHeight="14.5"/>
  <cols>
    <col min="1" max="1" width="34.08984375" style="21" customWidth="1"/>
    <col min="2" max="2" width="53.81640625" customWidth="1"/>
    <col min="3" max="3" width="18.08984375" customWidth="1"/>
    <col min="4" max="4" width="22.26953125" customWidth="1"/>
    <col min="5" max="5" width="16.453125" customWidth="1"/>
    <col min="6" max="6" width="14.26953125" customWidth="1"/>
    <col min="7" max="7" width="14" customWidth="1"/>
    <col min="8" max="9" width="14.81640625" customWidth="1"/>
    <col min="10" max="11" width="14.81640625" style="21" customWidth="1"/>
    <col min="12" max="12" width="15.54296875" customWidth="1"/>
    <col min="13" max="13" width="11.54296875" customWidth="1"/>
    <col min="14" max="15" width="14.54296875" customWidth="1"/>
    <col min="16" max="16" width="13.26953125" customWidth="1"/>
  </cols>
  <sheetData>
    <row r="1" spans="1:20">
      <c r="B1" s="1" t="s">
        <v>280</v>
      </c>
      <c r="C1" s="1"/>
      <c r="D1" s="1"/>
      <c r="G1" s="21"/>
      <c r="O1" s="166" t="s">
        <v>33</v>
      </c>
      <c r="P1" s="166"/>
      <c r="Q1" s="166"/>
    </row>
    <row r="2" spans="1:20" s="24" customFormat="1" ht="72.5">
      <c r="A2" s="24" t="s">
        <v>35</v>
      </c>
      <c r="B2" s="24" t="s">
        <v>0</v>
      </c>
      <c r="C2" s="117" t="s">
        <v>89</v>
      </c>
      <c r="D2" s="24" t="s">
        <v>34</v>
      </c>
      <c r="E2" s="24" t="s">
        <v>267</v>
      </c>
      <c r="F2" s="24" t="s">
        <v>31</v>
      </c>
      <c r="G2" s="24" t="s">
        <v>268</v>
      </c>
      <c r="H2" s="34" t="s">
        <v>269</v>
      </c>
      <c r="I2" s="35" t="s">
        <v>41</v>
      </c>
      <c r="J2" s="24" t="s">
        <v>9</v>
      </c>
      <c r="K2" s="34" t="s">
        <v>40</v>
      </c>
      <c r="L2" s="34" t="s">
        <v>41</v>
      </c>
      <c r="M2" s="24" t="s">
        <v>32</v>
      </c>
      <c r="N2" s="134" t="s">
        <v>76</v>
      </c>
      <c r="O2" s="115" t="s">
        <v>41</v>
      </c>
      <c r="P2" s="117" t="s">
        <v>74</v>
      </c>
      <c r="Q2" s="142" t="s">
        <v>75</v>
      </c>
      <c r="R2" s="34" t="s">
        <v>22</v>
      </c>
    </row>
    <row r="3" spans="1:20">
      <c r="B3" s="25">
        <v>601493.02800000005</v>
      </c>
      <c r="C3" s="91" t="s">
        <v>90</v>
      </c>
      <c r="D3" s="26">
        <v>9.5</v>
      </c>
      <c r="E3" s="32">
        <v>4.7</v>
      </c>
      <c r="F3" s="26">
        <v>1.4</v>
      </c>
      <c r="G3" s="28">
        <f>F3-E3</f>
        <v>-3.3000000000000003</v>
      </c>
      <c r="H3" s="37">
        <f>G3*0.99</f>
        <v>-3.2670000000000003</v>
      </c>
      <c r="I3" s="36">
        <f>$C$16+(H3-G3)</f>
        <v>0.13299999999999992</v>
      </c>
      <c r="J3" s="32">
        <f>E3</f>
        <v>4.7</v>
      </c>
      <c r="K3" s="38">
        <f>J3*0.99</f>
        <v>4.6530000000000005</v>
      </c>
      <c r="L3" s="38">
        <f>J3-K3</f>
        <v>4.6999999999999709E-2</v>
      </c>
      <c r="M3" s="27"/>
      <c r="N3" s="39">
        <f>$C$19-$C$22</f>
        <v>-1.5958000000000001</v>
      </c>
      <c r="O3" s="39">
        <f>SQRT(($C$20^2)+($C$23^2))</f>
        <v>0.36055512754639896</v>
      </c>
      <c r="P3" s="140">
        <f>N3-H3</f>
        <v>1.6712000000000002</v>
      </c>
      <c r="Q3" s="143">
        <f>P3/K3</f>
        <v>0.35916612937889536</v>
      </c>
      <c r="R3" s="143">
        <f>Q3*(SQRT(((I3/H3)^2)+((O3/N3)^2)))</f>
        <v>8.2456768156631083E-2</v>
      </c>
    </row>
    <row r="4" spans="1:20">
      <c r="A4" t="s">
        <v>5</v>
      </c>
      <c r="B4" s="25">
        <v>601493.022</v>
      </c>
      <c r="C4" s="91" t="s">
        <v>92</v>
      </c>
      <c r="D4" s="26">
        <v>10.1</v>
      </c>
      <c r="E4" s="32"/>
      <c r="F4" s="26">
        <v>3.5</v>
      </c>
      <c r="G4" s="28"/>
      <c r="H4" s="37"/>
      <c r="I4" s="36"/>
      <c r="J4" s="32"/>
      <c r="K4" s="38"/>
      <c r="L4" s="38"/>
      <c r="M4" s="27"/>
      <c r="N4" s="140">
        <f t="shared" ref="N4:N9" si="0">$C$19-$C$22</f>
        <v>-1.5958000000000001</v>
      </c>
      <c r="O4" s="140">
        <f t="shared" ref="O4:O9" si="1">SQRT(($C$20^2)+($C$23^2))</f>
        <v>0.36055512754639896</v>
      </c>
      <c r="P4" s="140"/>
      <c r="Q4" s="143"/>
      <c r="R4" s="143"/>
    </row>
    <row r="5" spans="1:20">
      <c r="B5" s="25">
        <v>601493.02599999995</v>
      </c>
      <c r="C5" s="91" t="s">
        <v>93</v>
      </c>
      <c r="D5" s="26">
        <v>11.8</v>
      </c>
      <c r="E5" s="32">
        <v>7.9</v>
      </c>
      <c r="F5" s="26">
        <v>3.1</v>
      </c>
      <c r="G5" s="28">
        <f>F5-E5</f>
        <v>-4.8000000000000007</v>
      </c>
      <c r="H5" s="37">
        <f t="shared" ref="H5:H9" si="2">G5*0.99</f>
        <v>-4.7520000000000007</v>
      </c>
      <c r="I5" s="36">
        <f t="shared" ref="I5:I9" si="3">$C$16+(H5-G5)</f>
        <v>0.14800000000000005</v>
      </c>
      <c r="J5" s="32">
        <f>E5</f>
        <v>7.9</v>
      </c>
      <c r="K5" s="38">
        <f t="shared" ref="K5:K9" si="4">J5*0.99</f>
        <v>7.8210000000000006</v>
      </c>
      <c r="L5" s="38">
        <f t="shared" ref="L5:L9" si="5">J5-K5</f>
        <v>7.8999999999999737E-2</v>
      </c>
      <c r="M5" s="27"/>
      <c r="N5" s="140">
        <f t="shared" si="0"/>
        <v>-1.5958000000000001</v>
      </c>
      <c r="O5" s="140">
        <f t="shared" si="1"/>
        <v>0.36055512754639896</v>
      </c>
      <c r="P5" s="140">
        <f t="shared" ref="P5:P9" si="6">N5-H5</f>
        <v>3.1562000000000006</v>
      </c>
      <c r="Q5" s="143">
        <f t="shared" ref="Q5:Q9" si="7">P5/K5</f>
        <v>0.40355453266845676</v>
      </c>
      <c r="R5" s="143">
        <f t="shared" ref="R5:R9" si="8">Q5*(SQRT(((I5/H5)^2)+((O5/N5)^2)))</f>
        <v>9.2041316457686026E-2</v>
      </c>
    </row>
    <row r="6" spans="1:20">
      <c r="B6" s="25">
        <v>601493.027</v>
      </c>
      <c r="C6" s="91" t="s">
        <v>94</v>
      </c>
      <c r="D6" s="26">
        <v>11.6</v>
      </c>
      <c r="E6" s="32">
        <v>8.1999999999999993</v>
      </c>
      <c r="F6" s="26">
        <v>3.1</v>
      </c>
      <c r="G6" s="28">
        <f>F6-E6</f>
        <v>-5.0999999999999996</v>
      </c>
      <c r="H6" s="37">
        <f t="shared" si="2"/>
        <v>-5.0489999999999995</v>
      </c>
      <c r="I6" s="36">
        <f t="shared" si="3"/>
        <v>0.15100000000000016</v>
      </c>
      <c r="J6" s="32">
        <f>E6</f>
        <v>8.1999999999999993</v>
      </c>
      <c r="K6" s="38">
        <f t="shared" si="4"/>
        <v>8.1179999999999986</v>
      </c>
      <c r="L6" s="38">
        <f t="shared" si="5"/>
        <v>8.2000000000000739E-2</v>
      </c>
      <c r="M6" s="27" t="s">
        <v>12</v>
      </c>
      <c r="N6" s="140">
        <f t="shared" si="0"/>
        <v>-1.5958000000000001</v>
      </c>
      <c r="O6" s="140">
        <f t="shared" si="1"/>
        <v>0.36055512754639896</v>
      </c>
      <c r="P6" s="140">
        <f t="shared" si="6"/>
        <v>3.4531999999999994</v>
      </c>
      <c r="Q6" s="143">
        <f t="shared" si="7"/>
        <v>0.42537570830253757</v>
      </c>
      <c r="R6" s="143">
        <f t="shared" si="8"/>
        <v>9.6947713907869992E-2</v>
      </c>
    </row>
    <row r="7" spans="1:20">
      <c r="B7" s="25">
        <v>601493.02500000002</v>
      </c>
      <c r="C7" s="91" t="s">
        <v>95</v>
      </c>
      <c r="D7" s="26">
        <v>11.1</v>
      </c>
      <c r="E7" s="32">
        <v>6.8</v>
      </c>
      <c r="F7" s="26">
        <v>2.7</v>
      </c>
      <c r="G7" s="28">
        <f>F7-E7</f>
        <v>-4.0999999999999996</v>
      </c>
      <c r="H7" s="37">
        <f t="shared" si="2"/>
        <v>-4.0589999999999993</v>
      </c>
      <c r="I7" s="36">
        <f t="shared" si="3"/>
        <v>0.14100000000000038</v>
      </c>
      <c r="J7" s="32">
        <f>E7</f>
        <v>6.8</v>
      </c>
      <c r="K7" s="38">
        <f t="shared" si="4"/>
        <v>6.7320000000000002</v>
      </c>
      <c r="L7" s="38">
        <f t="shared" si="5"/>
        <v>6.7999999999999616E-2</v>
      </c>
      <c r="M7" s="27"/>
      <c r="N7" s="140">
        <f t="shared" si="0"/>
        <v>-1.5958000000000001</v>
      </c>
      <c r="O7" s="140">
        <f t="shared" si="1"/>
        <v>0.36055512754639896</v>
      </c>
      <c r="P7" s="140">
        <f t="shared" si="6"/>
        <v>2.4631999999999992</v>
      </c>
      <c r="Q7" s="143">
        <f t="shared" si="7"/>
        <v>0.36589423648247166</v>
      </c>
      <c r="R7" s="143">
        <f t="shared" si="8"/>
        <v>8.3641539542158624E-2</v>
      </c>
    </row>
    <row r="8" spans="1:20">
      <c r="B8" s="25">
        <v>601493.02399999998</v>
      </c>
      <c r="C8" s="91" t="s">
        <v>96</v>
      </c>
      <c r="D8" s="26">
        <v>10.3</v>
      </c>
      <c r="E8" s="32">
        <v>6.8</v>
      </c>
      <c r="F8" s="26">
        <v>2.4</v>
      </c>
      <c r="G8" s="28">
        <f>F8-E8</f>
        <v>-4.4000000000000004</v>
      </c>
      <c r="H8" s="37">
        <f t="shared" si="2"/>
        <v>-4.3559999999999999</v>
      </c>
      <c r="I8" s="36">
        <f t="shared" si="3"/>
        <v>0.14400000000000049</v>
      </c>
      <c r="J8" s="32">
        <f>E8</f>
        <v>6.8</v>
      </c>
      <c r="K8" s="38">
        <f t="shared" si="4"/>
        <v>6.7320000000000002</v>
      </c>
      <c r="L8" s="38">
        <f t="shared" si="5"/>
        <v>6.7999999999999616E-2</v>
      </c>
      <c r="M8" s="27"/>
      <c r="N8" s="140">
        <f t="shared" si="0"/>
        <v>-1.5958000000000001</v>
      </c>
      <c r="O8" s="140">
        <f t="shared" si="1"/>
        <v>0.36055512754639896</v>
      </c>
      <c r="P8" s="140">
        <f t="shared" si="6"/>
        <v>2.7601999999999998</v>
      </c>
      <c r="Q8" s="143">
        <f t="shared" si="7"/>
        <v>0.41001188354129525</v>
      </c>
      <c r="R8" s="143">
        <f t="shared" si="8"/>
        <v>9.3624421657961004E-2</v>
      </c>
    </row>
    <row r="9" spans="1:20">
      <c r="B9" s="25">
        <v>601492.02300000004</v>
      </c>
      <c r="C9" s="91" t="s">
        <v>97</v>
      </c>
      <c r="D9" s="26">
        <v>9.6</v>
      </c>
      <c r="E9" s="32">
        <v>6.4</v>
      </c>
      <c r="F9" s="26">
        <v>1.9</v>
      </c>
      <c r="G9" s="28">
        <f>F9-E9</f>
        <v>-4.5</v>
      </c>
      <c r="H9" s="37">
        <f t="shared" si="2"/>
        <v>-4.4550000000000001</v>
      </c>
      <c r="I9" s="36">
        <f t="shared" si="3"/>
        <v>0.14499999999999993</v>
      </c>
      <c r="J9" s="32">
        <f>E9</f>
        <v>6.4</v>
      </c>
      <c r="K9" s="38">
        <f t="shared" si="4"/>
        <v>6.3360000000000003</v>
      </c>
      <c r="L9" s="38">
        <f t="shared" si="5"/>
        <v>6.4000000000000057E-2</v>
      </c>
      <c r="M9" s="27"/>
      <c r="N9" s="140">
        <f t="shared" si="0"/>
        <v>-1.5958000000000001</v>
      </c>
      <c r="O9" s="140">
        <f t="shared" si="1"/>
        <v>0.36055512754639896</v>
      </c>
      <c r="P9" s="140">
        <f t="shared" si="6"/>
        <v>2.8592</v>
      </c>
      <c r="Q9" s="143">
        <f t="shared" si="7"/>
        <v>0.45126262626262625</v>
      </c>
      <c r="R9" s="143">
        <f t="shared" si="8"/>
        <v>0.10301077219934504</v>
      </c>
    </row>
    <row r="10" spans="1:20"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17"/>
    </row>
    <row r="11" spans="1:20" ht="29">
      <c r="B11" s="1" t="s">
        <v>4</v>
      </c>
      <c r="D11" s="6"/>
      <c r="F11" s="4" t="s">
        <v>9</v>
      </c>
      <c r="G11" s="107" t="s">
        <v>265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5"/>
    </row>
    <row r="12" spans="1:20">
      <c r="B12" s="21" t="s">
        <v>37</v>
      </c>
      <c r="C12" s="8">
        <f>AVERAGE(G3:G9)</f>
        <v>-4.3666666666666671</v>
      </c>
      <c r="D12" s="8"/>
      <c r="E12" s="6" t="s">
        <v>24</v>
      </c>
      <c r="F12" s="29">
        <f>AVERAGE(J3:J9)</f>
        <v>6.8</v>
      </c>
      <c r="G12" s="29">
        <f>STDEV(J3:J9)</f>
        <v>1.2441864811996686</v>
      </c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</row>
    <row r="13" spans="1:20" ht="16.5">
      <c r="A13" s="33" t="s">
        <v>82</v>
      </c>
      <c r="B13" s="135" t="s">
        <v>88</v>
      </c>
      <c r="C13" s="31">
        <f>C12*0.99</f>
        <v>-4.3230000000000004</v>
      </c>
      <c r="D13" s="19"/>
      <c r="E13" s="1" t="s">
        <v>23</v>
      </c>
      <c r="F13" s="14">
        <f>F12*0.99</f>
        <v>6.7320000000000002</v>
      </c>
      <c r="G13" s="14">
        <f>G12+(F12-F13)</f>
        <v>1.3121864811996682</v>
      </c>
    </row>
    <row r="14" spans="1:20" s="6" customFormat="1">
      <c r="A14" s="21"/>
      <c r="B14" s="6" t="s">
        <v>26</v>
      </c>
      <c r="C14" s="29">
        <f>STDEV(G3:G9)</f>
        <v>0.62503333244448722</v>
      </c>
      <c r="D14" s="19"/>
      <c r="E14" s="1"/>
      <c r="F14" s="16"/>
      <c r="G14" s="16"/>
      <c r="J14" s="21"/>
      <c r="K14" s="21"/>
    </row>
    <row r="15" spans="1:20" s="6" customFormat="1">
      <c r="A15" s="21"/>
      <c r="B15" s="6" t="s">
        <v>27</v>
      </c>
      <c r="C15" s="29">
        <f>C12-C13</f>
        <v>-4.3666666666666742E-2</v>
      </c>
      <c r="J15" s="21"/>
      <c r="K15" s="21"/>
    </row>
    <row r="16" spans="1:20">
      <c r="A16" s="23" t="s">
        <v>282</v>
      </c>
      <c r="B16" s="6" t="s">
        <v>28</v>
      </c>
      <c r="C16" s="29">
        <v>0.1</v>
      </c>
    </row>
    <row r="17" spans="1:4" ht="16.5">
      <c r="A17" s="156" t="s">
        <v>83</v>
      </c>
      <c r="B17" s="135" t="s">
        <v>71</v>
      </c>
      <c r="C17" s="31">
        <f>(SQRT(C16^2+C14^2))+ABS(C15)</f>
        <v>0.67664902555722928</v>
      </c>
    </row>
    <row r="18" spans="1:4" s="133" customFormat="1">
      <c r="B18" s="135"/>
      <c r="C18" s="138"/>
    </row>
    <row r="19" spans="1:4" s="133" customFormat="1" ht="16.5">
      <c r="A19" s="33" t="s">
        <v>84</v>
      </c>
      <c r="B19" s="133" t="s">
        <v>61</v>
      </c>
      <c r="C19" s="113">
        <v>-0.4</v>
      </c>
    </row>
    <row r="20" spans="1:4" s="133" customFormat="1">
      <c r="A20" s="23" t="s">
        <v>66</v>
      </c>
      <c r="B20" s="133" t="s">
        <v>41</v>
      </c>
      <c r="C20" s="113">
        <v>0.2</v>
      </c>
    </row>
    <row r="21" spans="1:4" s="21" customFormat="1">
      <c r="B21" s="1"/>
      <c r="C21" s="29"/>
    </row>
    <row r="22" spans="1:4">
      <c r="A22" s="33" t="s">
        <v>81</v>
      </c>
      <c r="B22" s="133" t="s">
        <v>70</v>
      </c>
      <c r="C22" s="14">
        <f>0-((-0.6*C25)-0.3)</f>
        <v>1.1958</v>
      </c>
    </row>
    <row r="23" spans="1:4">
      <c r="A23" s="23" t="s">
        <v>67</v>
      </c>
      <c r="B23" s="133" t="s">
        <v>41</v>
      </c>
      <c r="C23" s="14">
        <v>0.3</v>
      </c>
    </row>
    <row r="25" spans="1:4">
      <c r="A25" s="33" t="s">
        <v>30</v>
      </c>
      <c r="B25" s="21" t="s">
        <v>36</v>
      </c>
      <c r="C25" s="30">
        <v>1.4930000000000001</v>
      </c>
    </row>
    <row r="26" spans="1:4">
      <c r="A26" s="23" t="s">
        <v>68</v>
      </c>
      <c r="B26" s="133" t="s">
        <v>79</v>
      </c>
      <c r="C26" s="31">
        <v>0.15086749152816187</v>
      </c>
    </row>
    <row r="27" spans="1:4" s="21" customFormat="1">
      <c r="A27" s="23"/>
      <c r="C27" s="16"/>
    </row>
    <row r="28" spans="1:4" s="21" customFormat="1">
      <c r="A28" s="23"/>
      <c r="C28" s="16"/>
    </row>
    <row r="29" spans="1:4">
      <c r="A29" s="33" t="s">
        <v>29</v>
      </c>
      <c r="B29" s="10" t="s">
        <v>10</v>
      </c>
      <c r="C29" s="13">
        <f>(C13-C19)+C22</f>
        <v>-2.7272000000000007</v>
      </c>
      <c r="D29" s="16"/>
    </row>
    <row r="30" spans="1:4">
      <c r="A30" s="33"/>
      <c r="B30" s="111" t="s">
        <v>41</v>
      </c>
      <c r="C30" s="13">
        <f>SQRT(C17^2+C20^2+C23^2)</f>
        <v>0.76671631245692684</v>
      </c>
      <c r="D30" s="9"/>
    </row>
    <row r="31" spans="1:4" s="21" customFormat="1">
      <c r="A31" s="33"/>
      <c r="B31" s="10"/>
      <c r="C31" s="29"/>
      <c r="D31" s="9"/>
    </row>
    <row r="32" spans="1:4">
      <c r="A32" s="33" t="s">
        <v>85</v>
      </c>
      <c r="B32" s="1" t="s">
        <v>11</v>
      </c>
      <c r="C32" s="13">
        <f>C29/C25</f>
        <v>-1.8266577361018088</v>
      </c>
    </row>
    <row r="33" spans="1:14">
      <c r="A33" s="23"/>
      <c r="B33" s="135" t="s">
        <v>69</v>
      </c>
      <c r="C33" s="13">
        <f>ABS(C32*(SQRT((C30/C29)^2)+((C26/C25)^2)))</f>
        <v>0.53219288191044922</v>
      </c>
    </row>
    <row r="34" spans="1:14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10"/>
      <c r="M34" s="10"/>
      <c r="N34" s="9"/>
    </row>
    <row r="35" spans="1:14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14" s="5" customFormat="1" ht="48.75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</row>
    <row r="37" spans="1:14">
      <c r="A37" s="9"/>
      <c r="B37" s="11"/>
      <c r="C37" s="9"/>
      <c r="D37" s="9"/>
      <c r="E37" s="9"/>
      <c r="F37" s="9"/>
      <c r="G37" s="12"/>
      <c r="H37" s="16"/>
      <c r="I37" s="12"/>
      <c r="J37" s="12"/>
      <c r="K37" s="12"/>
      <c r="L37" s="9"/>
      <c r="M37" s="9"/>
      <c r="N37" s="9"/>
    </row>
    <row r="38" spans="1:14">
      <c r="A38" s="9"/>
      <c r="B38" s="11"/>
      <c r="C38" s="9"/>
      <c r="D38" s="9"/>
      <c r="E38" s="9"/>
      <c r="F38" s="9"/>
      <c r="G38" s="12"/>
      <c r="H38" s="16"/>
      <c r="I38" s="12"/>
      <c r="J38" s="12"/>
      <c r="K38" s="12"/>
      <c r="L38" s="9"/>
      <c r="M38" s="9"/>
      <c r="N38" s="9"/>
    </row>
    <row r="39" spans="1:14">
      <c r="A39" s="9"/>
      <c r="B39" s="11"/>
      <c r="C39" s="9"/>
      <c r="D39" s="9"/>
      <c r="E39" s="9"/>
      <c r="F39" s="9"/>
      <c r="G39" s="12"/>
      <c r="H39" s="16"/>
      <c r="I39" s="12"/>
      <c r="J39" s="12"/>
      <c r="K39" s="12"/>
      <c r="L39" s="9"/>
      <c r="M39" s="9"/>
      <c r="N39" s="9"/>
    </row>
    <row r="40" spans="1:14">
      <c r="A40" s="9"/>
      <c r="B40" s="11"/>
      <c r="C40" s="9"/>
      <c r="D40" s="9"/>
      <c r="E40" s="9"/>
      <c r="F40" s="9"/>
      <c r="G40" s="12"/>
      <c r="H40" s="16"/>
      <c r="I40" s="12"/>
      <c r="J40" s="12"/>
      <c r="K40" s="12"/>
      <c r="L40" s="9"/>
      <c r="M40" s="9"/>
      <c r="N40" s="9"/>
    </row>
    <row r="41" spans="1:14">
      <c r="A41" s="9"/>
      <c r="B41" s="11"/>
      <c r="C41" s="9"/>
      <c r="D41" s="9"/>
      <c r="E41" s="9"/>
      <c r="F41" s="9"/>
      <c r="G41" s="12"/>
      <c r="H41" s="16"/>
      <c r="I41" s="12"/>
      <c r="J41" s="12"/>
      <c r="K41" s="12"/>
      <c r="L41" s="9"/>
      <c r="M41" s="9"/>
      <c r="N41" s="9"/>
    </row>
    <row r="42" spans="1:14">
      <c r="A42" s="9"/>
      <c r="B42" s="11"/>
      <c r="C42" s="9"/>
      <c r="D42" s="9"/>
      <c r="E42" s="9"/>
      <c r="F42" s="9"/>
      <c r="G42" s="12"/>
      <c r="H42" s="16"/>
      <c r="I42" s="12"/>
      <c r="J42" s="12"/>
      <c r="K42" s="12"/>
      <c r="L42" s="9"/>
      <c r="M42" s="9"/>
      <c r="N42" s="9"/>
    </row>
    <row r="43" spans="1:14">
      <c r="A43" s="9"/>
      <c r="B43" s="11"/>
      <c r="C43" s="9"/>
      <c r="D43" s="9"/>
      <c r="E43" s="9"/>
      <c r="F43" s="9"/>
      <c r="G43" s="12"/>
      <c r="H43" s="16"/>
      <c r="I43" s="12"/>
      <c r="J43" s="12"/>
      <c r="K43" s="12"/>
      <c r="L43" s="9"/>
      <c r="M43" s="9"/>
      <c r="N43" s="9"/>
    </row>
    <row r="44" spans="1:14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4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</sheetData>
  <mergeCells count="1">
    <mergeCell ref="O1:Q1"/>
  </mergeCells>
  <pageMargins left="0.7" right="0.7" top="0.75" bottom="0.75" header="0.3" footer="0.3"/>
  <pageSetup orientation="portrait" horizont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45"/>
  <sheetViews>
    <sheetView zoomScale="76" zoomScaleNormal="76" workbookViewId="0">
      <selection activeCell="B16" sqref="B16"/>
    </sheetView>
  </sheetViews>
  <sheetFormatPr defaultRowHeight="14.5"/>
  <cols>
    <col min="1" max="1" width="35.08984375" style="21" customWidth="1"/>
    <col min="2" max="2" width="21.453125" customWidth="1"/>
    <col min="3" max="3" width="17.6328125" customWidth="1"/>
    <col min="4" max="4" width="20.453125" customWidth="1"/>
    <col min="5" max="5" width="13.1796875" customWidth="1"/>
    <col min="6" max="6" width="14.26953125" customWidth="1"/>
    <col min="7" max="7" width="14" customWidth="1"/>
    <col min="8" max="9" width="14.81640625" customWidth="1"/>
    <col min="10" max="11" width="15.54296875" customWidth="1"/>
    <col min="12" max="12" width="17.1796875" customWidth="1"/>
    <col min="13" max="14" width="14.54296875" customWidth="1"/>
    <col min="15" max="15" width="13.26953125" customWidth="1"/>
    <col min="16" max="16" width="18.54296875" customWidth="1"/>
    <col min="17" max="17" width="12" bestFit="1" customWidth="1"/>
  </cols>
  <sheetData>
    <row r="1" spans="1:24">
      <c r="B1" s="106" t="s">
        <v>271</v>
      </c>
      <c r="C1" s="106"/>
      <c r="D1" s="106"/>
      <c r="E1" s="106"/>
      <c r="F1" s="106"/>
      <c r="G1" s="106"/>
      <c r="H1" s="106"/>
      <c r="I1" s="106"/>
      <c r="J1" s="1"/>
      <c r="T1" s="1"/>
    </row>
    <row r="2" spans="1:24" ht="58">
      <c r="A2" s="24" t="s">
        <v>35</v>
      </c>
      <c r="B2" t="s">
        <v>0</v>
      </c>
      <c r="C2" s="117" t="s">
        <v>91</v>
      </c>
      <c r="D2" s="117" t="s">
        <v>34</v>
      </c>
      <c r="E2" s="115" t="s">
        <v>267</v>
      </c>
      <c r="F2" s="117" t="s">
        <v>31</v>
      </c>
      <c r="G2" s="108" t="s">
        <v>268</v>
      </c>
      <c r="H2" s="123" t="s">
        <v>269</v>
      </c>
      <c r="I2" s="124" t="s">
        <v>41</v>
      </c>
      <c r="J2" s="117" t="s">
        <v>9</v>
      </c>
      <c r="K2" s="123" t="s">
        <v>40</v>
      </c>
      <c r="L2" s="123" t="s">
        <v>41</v>
      </c>
      <c r="M2" s="117" t="s">
        <v>32</v>
      </c>
      <c r="N2" s="134" t="s">
        <v>76</v>
      </c>
      <c r="O2" s="115" t="s">
        <v>41</v>
      </c>
      <c r="P2" s="117" t="s">
        <v>74</v>
      </c>
      <c r="Q2" s="142" t="s">
        <v>75</v>
      </c>
      <c r="R2" s="123" t="s">
        <v>22</v>
      </c>
      <c r="U2" s="2"/>
      <c r="X2" s="2"/>
    </row>
    <row r="3" spans="1:24">
      <c r="B3" s="102">
        <v>601593.01800000004</v>
      </c>
      <c r="C3" s="161" t="s">
        <v>152</v>
      </c>
      <c r="D3" s="118">
        <v>8.4</v>
      </c>
      <c r="E3" s="102">
        <v>4.5</v>
      </c>
      <c r="F3" s="102">
        <v>0.6</v>
      </c>
      <c r="G3" s="120">
        <f>F3-E3</f>
        <v>-3.9</v>
      </c>
      <c r="H3" s="126">
        <f>G3*0.99</f>
        <v>-3.8609999999999998</v>
      </c>
      <c r="I3" s="125">
        <f>$C$13+(H3-G3)</f>
        <v>0.13900000000000015</v>
      </c>
      <c r="J3" s="122">
        <f>E3</f>
        <v>4.5</v>
      </c>
      <c r="K3" s="127">
        <f>J3*0.99</f>
        <v>4.4550000000000001</v>
      </c>
      <c r="L3" s="127">
        <f>J3-K3</f>
        <v>4.4999999999999929E-2</v>
      </c>
      <c r="M3" s="119"/>
      <c r="N3" s="128">
        <f>$C$16-$C$19</f>
        <v>-1.2642308711542083</v>
      </c>
      <c r="O3" s="128">
        <f>SQRT(($C$17^2)+($C$20^2))</f>
        <v>0.36055512754639896</v>
      </c>
      <c r="P3" s="128">
        <f>N3-H3</f>
        <v>2.5967691288457915</v>
      </c>
      <c r="Q3" s="125">
        <f>P3/K3</f>
        <v>0.58288869334361204</v>
      </c>
      <c r="R3" s="125">
        <f>Q3*(SQRT(((I3/H3)^2)+((O3/N3)^2)))</f>
        <v>0.16755746384790565</v>
      </c>
    </row>
    <row r="4" spans="1:24" ht="37.5" customHeight="1">
      <c r="B4" s="102">
        <v>601593.01899999997</v>
      </c>
      <c r="C4" s="161" t="s">
        <v>153</v>
      </c>
      <c r="D4" s="118">
        <v>8</v>
      </c>
      <c r="E4" s="102">
        <v>4.0999999999999996</v>
      </c>
      <c r="F4" s="102">
        <v>0.5</v>
      </c>
      <c r="G4" s="120">
        <f t="shared" ref="G4:G5" si="0">F4-E4</f>
        <v>-3.5999999999999996</v>
      </c>
      <c r="H4" s="126">
        <f t="shared" ref="H4:H5" si="1">G4*0.99</f>
        <v>-3.5639999999999996</v>
      </c>
      <c r="I4" s="125">
        <f t="shared" ref="I4:I5" si="2">$C$13+(H4-G4)</f>
        <v>0.13600000000000004</v>
      </c>
      <c r="J4" s="122">
        <f t="shared" ref="J4:J5" si="3">E4</f>
        <v>4.0999999999999996</v>
      </c>
      <c r="K4" s="127">
        <f t="shared" ref="K4:K5" si="4">J4*0.99</f>
        <v>4.0589999999999993</v>
      </c>
      <c r="L4" s="127">
        <f t="shared" ref="L4:L5" si="5">J4-K4</f>
        <v>4.1000000000000369E-2</v>
      </c>
      <c r="M4" s="104" t="s">
        <v>21</v>
      </c>
      <c r="N4" s="140">
        <f t="shared" ref="N4:N5" si="6">$C$16-$C$19</f>
        <v>-1.2642308711542083</v>
      </c>
      <c r="O4" s="140">
        <f t="shared" ref="O4:O5" si="7">SQRT(($C$17^2)+($C$20^2))</f>
        <v>0.36055512754639896</v>
      </c>
      <c r="P4" s="128">
        <f t="shared" ref="P4:P5" si="8">N4-H4</f>
        <v>2.2997691288457913</v>
      </c>
      <c r="Q4" s="125">
        <f t="shared" ref="Q4:Q5" si="9">P4/K4</f>
        <v>0.56658515123079367</v>
      </c>
      <c r="R4" s="125">
        <f t="shared" ref="R4:R5" si="10">Q4*(SQRT(((I4/H4)^2)+((O4/N4)^2)))</f>
        <v>0.16302850576212979</v>
      </c>
      <c r="T4" s="5"/>
    </row>
    <row r="5" spans="1:24">
      <c r="B5" s="102">
        <v>601593.02300000004</v>
      </c>
      <c r="C5" s="161" t="s">
        <v>154</v>
      </c>
      <c r="D5" s="118">
        <v>8.8000000000000007</v>
      </c>
      <c r="E5" s="102">
        <v>4.2</v>
      </c>
      <c r="F5" s="118">
        <v>1</v>
      </c>
      <c r="G5" s="120">
        <f t="shared" si="0"/>
        <v>-3.2</v>
      </c>
      <c r="H5" s="126">
        <f t="shared" si="1"/>
        <v>-3.1680000000000001</v>
      </c>
      <c r="I5" s="125">
        <f t="shared" si="2"/>
        <v>0.13200000000000003</v>
      </c>
      <c r="J5" s="122">
        <f t="shared" si="3"/>
        <v>4.2</v>
      </c>
      <c r="K5" s="127">
        <f t="shared" si="4"/>
        <v>4.1580000000000004</v>
      </c>
      <c r="L5" s="127">
        <f t="shared" si="5"/>
        <v>4.1999999999999815E-2</v>
      </c>
      <c r="M5" s="119"/>
      <c r="N5" s="140">
        <f t="shared" si="6"/>
        <v>-1.2642308711542083</v>
      </c>
      <c r="O5" s="140">
        <f t="shared" si="7"/>
        <v>0.36055512754639896</v>
      </c>
      <c r="P5" s="128">
        <f t="shared" si="8"/>
        <v>1.9037691288457919</v>
      </c>
      <c r="Q5" s="125">
        <f t="shared" si="9"/>
        <v>0.45785693334434624</v>
      </c>
      <c r="R5" s="125">
        <f t="shared" si="10"/>
        <v>0.13196574608659445</v>
      </c>
    </row>
    <row r="7" spans="1:24" ht="29">
      <c r="E7" s="6"/>
      <c r="F7" s="4" t="s">
        <v>9</v>
      </c>
      <c r="G7" s="107" t="s">
        <v>265</v>
      </c>
      <c r="H7" s="7"/>
      <c r="I7" s="7"/>
      <c r="J7" s="7"/>
      <c r="K7" s="7"/>
      <c r="L7" s="7"/>
      <c r="M7" s="7"/>
      <c r="N7" s="7"/>
      <c r="O7" s="7"/>
      <c r="P7" s="17"/>
    </row>
    <row r="8" spans="1:24">
      <c r="B8" s="1" t="s">
        <v>4</v>
      </c>
      <c r="E8" s="6"/>
      <c r="F8" s="29">
        <f>AVERAGE(J3:J5)</f>
        <v>4.2666666666666666</v>
      </c>
      <c r="G8" s="29">
        <f>STDEV(J3:J5)</f>
        <v>0.20816659994661341</v>
      </c>
      <c r="H8" s="18"/>
      <c r="I8" s="18"/>
      <c r="J8" s="18"/>
      <c r="K8" s="18"/>
      <c r="L8" s="18"/>
      <c r="M8" s="18"/>
      <c r="N8" s="18"/>
      <c r="O8" s="18"/>
      <c r="P8" s="18"/>
    </row>
    <row r="9" spans="1:24">
      <c r="B9" s="21" t="s">
        <v>37</v>
      </c>
      <c r="C9" s="29">
        <f>AVERAGE(G3:G5)</f>
        <v>-3.5666666666666664</v>
      </c>
      <c r="E9" s="1" t="s">
        <v>23</v>
      </c>
      <c r="F9" s="14">
        <f>F8*0.99</f>
        <v>4.2240000000000002</v>
      </c>
      <c r="G9" s="14">
        <f>G8+(F8-F9)</f>
        <v>0.25083326661327981</v>
      </c>
      <c r="H9" s="16"/>
      <c r="I9" s="16"/>
      <c r="J9" s="16"/>
      <c r="K9" s="16"/>
      <c r="L9" s="16"/>
      <c r="M9" s="16"/>
      <c r="N9" s="16"/>
      <c r="O9" s="16"/>
      <c r="P9" s="16"/>
    </row>
    <row r="10" spans="1:24" ht="16.5">
      <c r="A10" s="33" t="s">
        <v>82</v>
      </c>
      <c r="B10" s="135" t="s">
        <v>88</v>
      </c>
      <c r="C10" s="31">
        <f>C9*0.99</f>
        <v>-3.5309999999999997</v>
      </c>
      <c r="H10" s="9"/>
      <c r="I10" s="9"/>
      <c r="J10" s="9"/>
      <c r="K10" s="9"/>
      <c r="L10" s="9"/>
      <c r="M10" s="9"/>
      <c r="N10" s="9"/>
      <c r="O10" s="9"/>
      <c r="P10" s="9"/>
    </row>
    <row r="11" spans="1:24" s="6" customFormat="1">
      <c r="A11" s="133"/>
      <c r="B11" s="6" t="s">
        <v>26</v>
      </c>
      <c r="C11" s="29">
        <f>STDEV(G3:G5)</f>
        <v>0.3511884584284245</v>
      </c>
      <c r="H11" s="9"/>
      <c r="I11" s="9"/>
      <c r="J11" s="9"/>
      <c r="K11" s="9"/>
      <c r="L11" s="9"/>
      <c r="M11" s="9"/>
      <c r="N11" s="9"/>
      <c r="O11" s="9"/>
      <c r="P11" s="9"/>
    </row>
    <row r="12" spans="1:24">
      <c r="A12" s="133"/>
      <c r="B12" s="6" t="s">
        <v>27</v>
      </c>
      <c r="C12" s="29">
        <f>C9-C10</f>
        <v>-3.5666666666666735E-2</v>
      </c>
    </row>
    <row r="13" spans="1:24">
      <c r="A13" s="23" t="s">
        <v>282</v>
      </c>
      <c r="B13" s="6" t="s">
        <v>28</v>
      </c>
      <c r="C13" s="138">
        <v>0.1</v>
      </c>
    </row>
    <row r="14" spans="1:24" ht="16.5">
      <c r="A14" s="158" t="s">
        <v>83</v>
      </c>
      <c r="B14" s="1" t="s">
        <v>25</v>
      </c>
      <c r="C14" s="31">
        <f>(SQRT(C13^2+C11^2))+ABS(C12)</f>
        <v>0.40081503833677734</v>
      </c>
    </row>
    <row r="15" spans="1:24" s="133" customFormat="1">
      <c r="B15" s="135"/>
      <c r="C15" s="138"/>
    </row>
    <row r="16" spans="1:24" s="133" customFormat="1" ht="16.5">
      <c r="A16" s="33" t="s">
        <v>84</v>
      </c>
      <c r="B16" s="133" t="s">
        <v>61</v>
      </c>
      <c r="C16" s="113">
        <v>-0.4</v>
      </c>
    </row>
    <row r="17" spans="1:6" s="133" customFormat="1">
      <c r="A17" s="23" t="s">
        <v>66</v>
      </c>
      <c r="B17" s="133" t="s">
        <v>41</v>
      </c>
      <c r="C17" s="113">
        <v>0.2</v>
      </c>
    </row>
    <row r="18" spans="1:6" s="21" customFormat="1">
      <c r="A18" s="133"/>
      <c r="B18" s="135"/>
      <c r="C18" s="138"/>
    </row>
    <row r="19" spans="1:6" s="21" customFormat="1">
      <c r="A19" s="33" t="s">
        <v>81</v>
      </c>
      <c r="B19" s="133" t="s">
        <v>70</v>
      </c>
      <c r="C19" s="113">
        <f>0-((-0.6*C22)-0.3)</f>
        <v>0.86423087115420816</v>
      </c>
    </row>
    <row r="20" spans="1:6" s="21" customFormat="1">
      <c r="A20" s="23" t="s">
        <v>67</v>
      </c>
      <c r="B20" s="133" t="s">
        <v>41</v>
      </c>
      <c r="C20" s="113">
        <v>0.3</v>
      </c>
    </row>
    <row r="21" spans="1:6">
      <c r="A21" s="133"/>
    </row>
    <row r="22" spans="1:6">
      <c r="A22" s="33" t="s">
        <v>30</v>
      </c>
      <c r="B22" s="21" t="s">
        <v>36</v>
      </c>
      <c r="C22" s="30">
        <v>0.94038478525701363</v>
      </c>
    </row>
    <row r="23" spans="1:6">
      <c r="A23" s="23" t="s">
        <v>68</v>
      </c>
      <c r="B23" s="21" t="s">
        <v>22</v>
      </c>
      <c r="C23" s="31">
        <v>4.8396269750398041E-2</v>
      </c>
    </row>
    <row r="24" spans="1:6">
      <c r="A24" s="23"/>
    </row>
    <row r="25" spans="1:6">
      <c r="A25" s="23"/>
      <c r="B25" s="141"/>
      <c r="C25" s="139"/>
    </row>
    <row r="26" spans="1:6">
      <c r="A26" s="33" t="s">
        <v>29</v>
      </c>
      <c r="B26" s="111" t="s">
        <v>10</v>
      </c>
      <c r="C26" s="13">
        <f>(C10-C16)+C19</f>
        <v>-2.2667691288457918</v>
      </c>
    </row>
    <row r="27" spans="1:6">
      <c r="A27" s="33"/>
      <c r="B27" s="111" t="s">
        <v>41</v>
      </c>
      <c r="C27" s="13">
        <f>SQRT(C14^2+C17^2+C20^2)</f>
        <v>0.53912215216675363</v>
      </c>
    </row>
    <row r="28" spans="1:6">
      <c r="A28" s="33"/>
      <c r="B28" s="111"/>
      <c r="C28" s="138"/>
      <c r="D28" s="9"/>
      <c r="E28" s="9"/>
      <c r="F28" s="9"/>
    </row>
    <row r="29" spans="1:6">
      <c r="A29" s="33" t="s">
        <v>85</v>
      </c>
      <c r="B29" s="135" t="s">
        <v>11</v>
      </c>
      <c r="C29" s="13">
        <f>C26/C22</f>
        <v>-2.4104698038327665</v>
      </c>
      <c r="D29" s="9"/>
    </row>
    <row r="30" spans="1:6">
      <c r="A30" s="23"/>
      <c r="B30" s="135" t="s">
        <v>69</v>
      </c>
      <c r="C30" s="13">
        <f>ABS(C29*(SQRT((C27/C26)^2)+((C23/C22)^2)))</f>
        <v>0.57968384123330285</v>
      </c>
      <c r="D30" s="9"/>
    </row>
    <row r="31" spans="1:6">
      <c r="A31" s="159"/>
      <c r="B31" s="111"/>
      <c r="C31" s="138"/>
      <c r="D31" s="9"/>
    </row>
    <row r="32" spans="1:6">
      <c r="A32" s="159"/>
      <c r="B32" s="111"/>
      <c r="C32" s="138"/>
      <c r="D32" s="9"/>
    </row>
    <row r="33" spans="1:11">
      <c r="A33" s="159"/>
      <c r="B33" s="111"/>
      <c r="C33" s="138"/>
    </row>
    <row r="34" spans="1:11">
      <c r="A34" s="159"/>
      <c r="B34" s="111"/>
      <c r="C34" s="138"/>
    </row>
    <row r="35" spans="1:11">
      <c r="A35" s="141"/>
      <c r="B35" s="111"/>
      <c r="C35" s="138"/>
      <c r="D35" s="6"/>
      <c r="E35" s="6"/>
      <c r="F35" s="6"/>
      <c r="G35" s="6"/>
      <c r="H35" s="6"/>
      <c r="I35" s="6"/>
    </row>
    <row r="36" spans="1:11">
      <c r="A36" s="141"/>
      <c r="B36" s="141"/>
      <c r="C36" s="141"/>
      <c r="D36" s="6"/>
      <c r="E36" s="6"/>
      <c r="F36" s="6"/>
      <c r="G36" s="6"/>
      <c r="H36" s="6"/>
      <c r="I36" s="6"/>
      <c r="J36" s="6"/>
      <c r="K36" s="6"/>
    </row>
    <row r="37" spans="1:11">
      <c r="A37"/>
    </row>
    <row r="38" spans="1:11">
      <c r="A38"/>
    </row>
    <row r="39" spans="1:11">
      <c r="A39"/>
    </row>
    <row r="40" spans="1:11">
      <c r="A40"/>
    </row>
    <row r="41" spans="1:11">
      <c r="A41"/>
    </row>
    <row r="42" spans="1:11">
      <c r="A42"/>
    </row>
    <row r="43" spans="1:11">
      <c r="A43"/>
    </row>
    <row r="44" spans="1:11">
      <c r="A44"/>
    </row>
    <row r="45" spans="1:11">
      <c r="A4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212"/>
  <sheetViews>
    <sheetView tabSelected="1" topLeftCell="A100" zoomScale="80" zoomScaleNormal="80" workbookViewId="0">
      <selection activeCell="E120" sqref="E120"/>
    </sheetView>
  </sheetViews>
  <sheetFormatPr defaultColWidth="9.1796875" defaultRowHeight="14.5"/>
  <cols>
    <col min="1" max="1" width="32.81640625" style="105" customWidth="1"/>
    <col min="2" max="2" width="21.453125" style="105" customWidth="1"/>
    <col min="3" max="3" width="18.90625" style="105" customWidth="1"/>
    <col min="4" max="4" width="20.453125" style="105" customWidth="1"/>
    <col min="5" max="5" width="13.1796875" style="105" customWidth="1"/>
    <col min="6" max="6" width="14.26953125" style="105" customWidth="1"/>
    <col min="7" max="7" width="14" style="105" customWidth="1"/>
    <col min="8" max="9" width="14.81640625" style="105" customWidth="1"/>
    <col min="10" max="11" width="15.54296875" style="105" customWidth="1"/>
    <col min="12" max="12" width="17.1796875" style="105" customWidth="1"/>
    <col min="13" max="14" width="14.54296875" style="105" customWidth="1"/>
    <col min="15" max="15" width="13.26953125" style="105" customWidth="1"/>
    <col min="16" max="16" width="18.54296875" style="105" customWidth="1"/>
    <col min="17" max="17" width="12" style="105" bestFit="1" customWidth="1"/>
    <col min="18" max="16384" width="9.1796875" style="105"/>
  </cols>
  <sheetData>
    <row r="1" spans="1:23">
      <c r="A1" s="135" t="s">
        <v>270</v>
      </c>
      <c r="C1" s="106" t="s">
        <v>87</v>
      </c>
      <c r="D1" s="106"/>
      <c r="E1" s="111"/>
      <c r="F1" s="111"/>
      <c r="G1" s="111"/>
      <c r="H1" s="111"/>
      <c r="I1" s="106"/>
      <c r="J1" s="106"/>
      <c r="T1" s="106"/>
    </row>
    <row r="2" spans="1:23" ht="58">
      <c r="A2" s="117" t="s">
        <v>35</v>
      </c>
      <c r="B2" s="105" t="s">
        <v>0</v>
      </c>
      <c r="C2" s="105" t="s">
        <v>89</v>
      </c>
      <c r="D2" s="115" t="s">
        <v>50</v>
      </c>
      <c r="E2" s="131" t="s">
        <v>31</v>
      </c>
      <c r="F2" s="134" t="s">
        <v>57</v>
      </c>
      <c r="G2" s="142" t="s">
        <v>58</v>
      </c>
      <c r="H2" s="124" t="s">
        <v>41</v>
      </c>
      <c r="I2" s="117" t="s">
        <v>9</v>
      </c>
      <c r="J2" s="123" t="s">
        <v>40</v>
      </c>
      <c r="K2" s="123" t="s">
        <v>41</v>
      </c>
      <c r="L2" s="117"/>
      <c r="M2" s="134" t="s">
        <v>77</v>
      </c>
      <c r="N2" s="115" t="s">
        <v>41</v>
      </c>
      <c r="O2" s="117" t="s">
        <v>74</v>
      </c>
      <c r="P2" s="142" t="s">
        <v>75</v>
      </c>
      <c r="Q2" s="142" t="s">
        <v>78</v>
      </c>
      <c r="T2" s="2"/>
      <c r="W2" s="2"/>
    </row>
    <row r="3" spans="1:23">
      <c r="B3" s="145">
        <v>9391.0049999999992</v>
      </c>
      <c r="C3" s="162" t="s">
        <v>161</v>
      </c>
      <c r="D3" s="146">
        <v>2.4</v>
      </c>
      <c r="E3" s="155">
        <v>1.5</v>
      </c>
      <c r="F3" s="120">
        <f>E3-D3</f>
        <v>-0.89999999999999991</v>
      </c>
      <c r="G3" s="126">
        <f>F3*0.99</f>
        <v>-0.8909999999999999</v>
      </c>
      <c r="H3" s="125">
        <f>$C$113+(G3-F3)</f>
        <v>0.10900000000000001</v>
      </c>
      <c r="I3" s="122">
        <f>D3</f>
        <v>2.4</v>
      </c>
      <c r="J3" s="127">
        <f>I3*0.99</f>
        <v>2.3759999999999999</v>
      </c>
      <c r="K3" s="127">
        <f>I3-J3</f>
        <v>2.4000000000000021E-2</v>
      </c>
      <c r="L3" s="119"/>
      <c r="M3" s="128">
        <f>$C$116-$C$119</f>
        <v>-0.70199999999999996</v>
      </c>
      <c r="N3" s="140">
        <f>SQRT(($C$117^2)+($C$120^2))</f>
        <v>0.30790623572769682</v>
      </c>
      <c r="O3" s="140">
        <f>M3-G3</f>
        <v>0.18899999999999995</v>
      </c>
      <c r="P3" s="143">
        <f>O3/J3</f>
        <v>7.954545454545453E-2</v>
      </c>
      <c r="Q3" s="143">
        <f>P3*(SQRT(((H3/G3)^2)+((N3/M3)^2)))</f>
        <v>3.6221315115461464E-2</v>
      </c>
    </row>
    <row r="4" spans="1:23" ht="37.5" customHeight="1">
      <c r="B4" s="145">
        <v>9391.009</v>
      </c>
      <c r="C4" s="162" t="s">
        <v>162</v>
      </c>
      <c r="D4" s="146">
        <v>4</v>
      </c>
      <c r="E4" s="155">
        <v>2.4</v>
      </c>
      <c r="F4" s="120">
        <f t="shared" ref="F4:F67" si="0">E4-D4</f>
        <v>-1.6</v>
      </c>
      <c r="G4" s="126">
        <f t="shared" ref="G4:G67" si="1">F4*0.99</f>
        <v>-1.5840000000000001</v>
      </c>
      <c r="H4" s="125">
        <f t="shared" ref="H4:H67" si="2">$C$113+(G4-F4)</f>
        <v>0.11600000000000002</v>
      </c>
      <c r="I4" s="122">
        <f t="shared" ref="I4:I67" si="3">D4</f>
        <v>4</v>
      </c>
      <c r="J4" s="127">
        <f t="shared" ref="J4:J67" si="4">I4*0.99</f>
        <v>3.96</v>
      </c>
      <c r="K4" s="127">
        <f t="shared" ref="K4:K67" si="5">I4-J4</f>
        <v>4.0000000000000036E-2</v>
      </c>
      <c r="L4" s="104"/>
      <c r="M4" s="140">
        <f t="shared" ref="M4:M67" si="6">$C$116-$C$119</f>
        <v>-0.70199999999999996</v>
      </c>
      <c r="N4" s="140">
        <f t="shared" ref="N4:N67" si="7">SQRT(($C$117^2)+($C$120^2))</f>
        <v>0.30790623572769682</v>
      </c>
      <c r="O4" s="140">
        <f t="shared" ref="O4:O67" si="8">M4-G4</f>
        <v>0.88200000000000012</v>
      </c>
      <c r="P4" s="143">
        <f t="shared" ref="P4:P5" si="9">O4/J4</f>
        <v>0.22272727272727275</v>
      </c>
      <c r="Q4" s="143">
        <f t="shared" ref="Q4:Q5" si="10">P4*(SQRT(((H4/G4)^2)+((N4/M4)^2)))</f>
        <v>9.9043345771684277E-2</v>
      </c>
      <c r="S4" s="108"/>
    </row>
    <row r="5" spans="1:23">
      <c r="B5" s="145">
        <v>9391.01</v>
      </c>
      <c r="C5" s="162" t="s">
        <v>163</v>
      </c>
      <c r="D5" s="146">
        <v>2.7</v>
      </c>
      <c r="E5" s="155">
        <v>1.4</v>
      </c>
      <c r="F5" s="120">
        <f t="shared" si="0"/>
        <v>-1.3000000000000003</v>
      </c>
      <c r="G5" s="126">
        <f t="shared" si="1"/>
        <v>-1.2870000000000001</v>
      </c>
      <c r="H5" s="125">
        <f t="shared" si="2"/>
        <v>0.11300000000000013</v>
      </c>
      <c r="I5" s="122">
        <f t="shared" si="3"/>
        <v>2.7</v>
      </c>
      <c r="J5" s="127">
        <f t="shared" si="4"/>
        <v>2.673</v>
      </c>
      <c r="K5" s="127">
        <f t="shared" si="5"/>
        <v>2.7000000000000135E-2</v>
      </c>
      <c r="L5" s="119"/>
      <c r="M5" s="140">
        <f t="shared" si="6"/>
        <v>-0.70199999999999996</v>
      </c>
      <c r="N5" s="140">
        <f t="shared" si="7"/>
        <v>0.30790623572769682</v>
      </c>
      <c r="O5" s="128">
        <f t="shared" si="8"/>
        <v>0.58500000000000019</v>
      </c>
      <c r="P5" s="125">
        <f t="shared" si="9"/>
        <v>0.21885521885521891</v>
      </c>
      <c r="Q5" s="125">
        <f t="shared" si="10"/>
        <v>9.7897117705039255E-2</v>
      </c>
    </row>
    <row r="6" spans="1:23">
      <c r="B6" s="145">
        <v>9391.0110000000004</v>
      </c>
      <c r="C6" s="162" t="s">
        <v>164</v>
      </c>
      <c r="D6" s="146">
        <v>4.9000000000000004</v>
      </c>
      <c r="E6" s="155">
        <v>2.9</v>
      </c>
      <c r="F6" s="120">
        <f t="shared" si="0"/>
        <v>-2.0000000000000004</v>
      </c>
      <c r="G6" s="144">
        <f t="shared" si="1"/>
        <v>-1.9800000000000004</v>
      </c>
      <c r="H6" s="143">
        <f t="shared" si="2"/>
        <v>0.12000000000000002</v>
      </c>
      <c r="I6" s="122">
        <f t="shared" si="3"/>
        <v>4.9000000000000004</v>
      </c>
      <c r="J6" s="127">
        <f t="shared" si="4"/>
        <v>4.851</v>
      </c>
      <c r="K6" s="127">
        <f t="shared" si="5"/>
        <v>4.9000000000000377E-2</v>
      </c>
      <c r="L6" s="119"/>
      <c r="M6" s="140">
        <f t="shared" si="6"/>
        <v>-0.70199999999999996</v>
      </c>
      <c r="N6" s="140">
        <f t="shared" si="7"/>
        <v>0.30790623572769682</v>
      </c>
      <c r="O6" s="140">
        <f t="shared" si="8"/>
        <v>1.2780000000000005</v>
      </c>
      <c r="P6" s="143">
        <f t="shared" ref="P6:P69" si="11">O6/J6</f>
        <v>0.2634508348794064</v>
      </c>
      <c r="Q6" s="143">
        <f t="shared" ref="Q6:Q69" si="12">P6*(SQRT(((H6/G6)^2)+((N6/M6)^2)))</f>
        <v>0.11665082526803718</v>
      </c>
    </row>
    <row r="7" spans="1:23">
      <c r="B7" s="145">
        <v>9492.0310000000009</v>
      </c>
      <c r="C7" s="165" t="s">
        <v>165</v>
      </c>
      <c r="D7" s="146">
        <v>3.6</v>
      </c>
      <c r="E7" s="155">
        <v>1</v>
      </c>
      <c r="F7" s="120">
        <f t="shared" si="0"/>
        <v>-2.6</v>
      </c>
      <c r="G7" s="144">
        <f t="shared" si="1"/>
        <v>-2.5739999999999998</v>
      </c>
      <c r="H7" s="143">
        <f t="shared" si="2"/>
        <v>0.12600000000000025</v>
      </c>
      <c r="I7" s="122">
        <f t="shared" si="3"/>
        <v>3.6</v>
      </c>
      <c r="J7" s="127">
        <f t="shared" si="4"/>
        <v>3.5640000000000001</v>
      </c>
      <c r="K7" s="127">
        <f t="shared" si="5"/>
        <v>3.6000000000000032E-2</v>
      </c>
      <c r="L7" s="119"/>
      <c r="M7" s="140">
        <f t="shared" si="6"/>
        <v>-0.70199999999999996</v>
      </c>
      <c r="N7" s="140">
        <f t="shared" si="7"/>
        <v>0.30790623572769682</v>
      </c>
      <c r="O7" s="140">
        <f t="shared" si="8"/>
        <v>1.8719999999999999</v>
      </c>
      <c r="P7" s="143">
        <f t="shared" si="11"/>
        <v>0.52525252525252519</v>
      </c>
      <c r="Q7" s="143">
        <f t="shared" si="12"/>
        <v>0.23181284328468946</v>
      </c>
    </row>
    <row r="8" spans="1:23">
      <c r="B8" s="145">
        <v>9492.0329999999994</v>
      </c>
      <c r="C8" s="165" t="s">
        <v>166</v>
      </c>
      <c r="D8" s="146">
        <v>4.0999999999999996</v>
      </c>
      <c r="E8" s="155">
        <v>3</v>
      </c>
      <c r="F8" s="120">
        <f t="shared" si="0"/>
        <v>-1.0999999999999996</v>
      </c>
      <c r="G8" s="144">
        <f t="shared" si="1"/>
        <v>-1.0889999999999997</v>
      </c>
      <c r="H8" s="143">
        <f t="shared" si="2"/>
        <v>0.1109999999999999</v>
      </c>
      <c r="I8" s="122">
        <f t="shared" si="3"/>
        <v>4.0999999999999996</v>
      </c>
      <c r="J8" s="127">
        <f t="shared" si="4"/>
        <v>4.0589999999999993</v>
      </c>
      <c r="K8" s="127">
        <f t="shared" si="5"/>
        <v>4.1000000000000369E-2</v>
      </c>
      <c r="L8" s="119"/>
      <c r="M8" s="140">
        <f t="shared" si="6"/>
        <v>-0.70199999999999996</v>
      </c>
      <c r="N8" s="140">
        <f t="shared" si="7"/>
        <v>0.30790623572769682</v>
      </c>
      <c r="O8" s="140">
        <f t="shared" si="8"/>
        <v>0.38699999999999979</v>
      </c>
      <c r="P8" s="143">
        <f t="shared" si="11"/>
        <v>9.5343680709534334E-2</v>
      </c>
      <c r="Q8" s="143">
        <f t="shared" si="12"/>
        <v>4.2933318129149911E-2</v>
      </c>
    </row>
    <row r="9" spans="1:23">
      <c r="B9" s="145">
        <v>9492.0339999999997</v>
      </c>
      <c r="C9" s="165" t="s">
        <v>167</v>
      </c>
      <c r="D9" s="146">
        <v>4.4000000000000004</v>
      </c>
      <c r="E9" s="155">
        <v>3</v>
      </c>
      <c r="F9" s="120">
        <f t="shared" si="0"/>
        <v>-1.4000000000000004</v>
      </c>
      <c r="G9" s="144">
        <f t="shared" si="1"/>
        <v>-1.3860000000000003</v>
      </c>
      <c r="H9" s="143">
        <f t="shared" si="2"/>
        <v>0.11400000000000002</v>
      </c>
      <c r="I9" s="122">
        <f t="shared" si="3"/>
        <v>4.4000000000000004</v>
      </c>
      <c r="J9" s="127">
        <f t="shared" si="4"/>
        <v>4.3559999999999999</v>
      </c>
      <c r="K9" s="127">
        <f t="shared" si="5"/>
        <v>4.4000000000000483E-2</v>
      </c>
      <c r="L9" s="119"/>
      <c r="M9" s="140">
        <f t="shared" si="6"/>
        <v>-0.70199999999999996</v>
      </c>
      <c r="N9" s="140">
        <f t="shared" si="7"/>
        <v>0.30790623572769682</v>
      </c>
      <c r="O9" s="140">
        <f t="shared" si="8"/>
        <v>0.68400000000000039</v>
      </c>
      <c r="P9" s="143">
        <f t="shared" si="11"/>
        <v>0.15702479338842984</v>
      </c>
      <c r="Q9" s="143">
        <f t="shared" si="12"/>
        <v>7.0073621081048976E-2</v>
      </c>
    </row>
    <row r="10" spans="1:23">
      <c r="B10" s="145">
        <v>9492.0349999999999</v>
      </c>
      <c r="C10" s="165" t="s">
        <v>168</v>
      </c>
      <c r="D10" s="146">
        <v>4.5</v>
      </c>
      <c r="E10" s="155">
        <v>3</v>
      </c>
      <c r="F10" s="120">
        <f t="shared" si="0"/>
        <v>-1.5</v>
      </c>
      <c r="G10" s="144">
        <f t="shared" si="1"/>
        <v>-1.4849999999999999</v>
      </c>
      <c r="H10" s="143">
        <f t="shared" si="2"/>
        <v>0.11500000000000013</v>
      </c>
      <c r="I10" s="122">
        <f t="shared" si="3"/>
        <v>4.5</v>
      </c>
      <c r="J10" s="127">
        <f t="shared" si="4"/>
        <v>4.4550000000000001</v>
      </c>
      <c r="K10" s="127">
        <f t="shared" si="5"/>
        <v>4.4999999999999929E-2</v>
      </c>
      <c r="L10" s="119"/>
      <c r="M10" s="140">
        <f t="shared" si="6"/>
        <v>-0.70199999999999996</v>
      </c>
      <c r="N10" s="140">
        <f t="shared" si="7"/>
        <v>0.30790623572769682</v>
      </c>
      <c r="O10" s="140">
        <f t="shared" si="8"/>
        <v>0.78299999999999992</v>
      </c>
      <c r="P10" s="143">
        <f t="shared" si="11"/>
        <v>0.17575757575757572</v>
      </c>
      <c r="Q10" s="143">
        <f t="shared" si="12"/>
        <v>7.8281874048862568E-2</v>
      </c>
    </row>
    <row r="11" spans="1:23">
      <c r="B11" s="145">
        <v>9492.0370000000003</v>
      </c>
      <c r="C11" s="165" t="s">
        <v>169</v>
      </c>
      <c r="D11" s="146">
        <v>4.7</v>
      </c>
      <c r="E11" s="155">
        <v>2.7</v>
      </c>
      <c r="F11" s="120">
        <f t="shared" si="0"/>
        <v>-2</v>
      </c>
      <c r="G11" s="144">
        <f t="shared" si="1"/>
        <v>-1.98</v>
      </c>
      <c r="H11" s="143">
        <f t="shared" si="2"/>
        <v>0.12000000000000002</v>
      </c>
      <c r="I11" s="122">
        <f t="shared" si="3"/>
        <v>4.7</v>
      </c>
      <c r="J11" s="127">
        <f t="shared" si="4"/>
        <v>4.6530000000000005</v>
      </c>
      <c r="K11" s="127">
        <f t="shared" si="5"/>
        <v>4.6999999999999709E-2</v>
      </c>
      <c r="L11" s="119"/>
      <c r="M11" s="140">
        <f t="shared" si="6"/>
        <v>-0.70199999999999996</v>
      </c>
      <c r="N11" s="140">
        <f t="shared" si="7"/>
        <v>0.30790623572769682</v>
      </c>
      <c r="O11" s="140">
        <f t="shared" si="8"/>
        <v>1.278</v>
      </c>
      <c r="P11" s="143">
        <f t="shared" si="11"/>
        <v>0.27466150870406186</v>
      </c>
      <c r="Q11" s="143">
        <f t="shared" si="12"/>
        <v>0.12161469017305997</v>
      </c>
    </row>
    <row r="12" spans="1:23">
      <c r="B12" s="145">
        <v>9492.0540000000001</v>
      </c>
      <c r="C12" s="165" t="s">
        <v>170</v>
      </c>
      <c r="D12" s="146">
        <v>3.2</v>
      </c>
      <c r="E12" s="155">
        <v>1.1000000000000001</v>
      </c>
      <c r="F12" s="120">
        <f t="shared" si="0"/>
        <v>-2.1</v>
      </c>
      <c r="G12" s="144">
        <f t="shared" si="1"/>
        <v>-2.0790000000000002</v>
      </c>
      <c r="H12" s="143">
        <f t="shared" si="2"/>
        <v>0.12099999999999991</v>
      </c>
      <c r="I12" s="122">
        <f t="shared" si="3"/>
        <v>3.2</v>
      </c>
      <c r="J12" s="127">
        <f t="shared" si="4"/>
        <v>3.1680000000000001</v>
      </c>
      <c r="K12" s="127">
        <f t="shared" si="5"/>
        <v>3.2000000000000028E-2</v>
      </c>
      <c r="L12" s="119"/>
      <c r="M12" s="140">
        <f t="shared" si="6"/>
        <v>-0.70199999999999996</v>
      </c>
      <c r="N12" s="140">
        <f t="shared" si="7"/>
        <v>0.30790623572769682</v>
      </c>
      <c r="O12" s="140">
        <f t="shared" si="8"/>
        <v>1.3770000000000002</v>
      </c>
      <c r="P12" s="143">
        <f t="shared" si="11"/>
        <v>0.43465909090909094</v>
      </c>
      <c r="Q12" s="143">
        <f t="shared" si="12"/>
        <v>0.19231816235436511</v>
      </c>
    </row>
    <row r="13" spans="1:23">
      <c r="B13" s="145">
        <v>9492.0650000000005</v>
      </c>
      <c r="C13" s="165" t="s">
        <v>171</v>
      </c>
      <c r="D13" s="146">
        <v>6.6</v>
      </c>
      <c r="E13" s="155">
        <v>2.9</v>
      </c>
      <c r="F13" s="120">
        <f t="shared" si="0"/>
        <v>-3.6999999999999997</v>
      </c>
      <c r="G13" s="144">
        <f t="shared" si="1"/>
        <v>-3.6629999999999998</v>
      </c>
      <c r="H13" s="143">
        <f t="shared" si="2"/>
        <v>0.13699999999999993</v>
      </c>
      <c r="I13" s="122">
        <f t="shared" si="3"/>
        <v>6.6</v>
      </c>
      <c r="J13" s="127">
        <f t="shared" si="4"/>
        <v>6.5339999999999998</v>
      </c>
      <c r="K13" s="127">
        <f t="shared" si="5"/>
        <v>6.5999999999999837E-2</v>
      </c>
      <c r="L13" s="119"/>
      <c r="M13" s="140">
        <f t="shared" si="6"/>
        <v>-0.70199999999999996</v>
      </c>
      <c r="N13" s="140">
        <f t="shared" si="7"/>
        <v>0.30790623572769682</v>
      </c>
      <c r="O13" s="140">
        <f t="shared" si="8"/>
        <v>2.9609999999999999</v>
      </c>
      <c r="P13" s="143">
        <f t="shared" si="11"/>
        <v>0.45316804407713496</v>
      </c>
      <c r="Q13" s="143">
        <f t="shared" si="12"/>
        <v>0.19948665690732925</v>
      </c>
    </row>
    <row r="14" spans="1:23">
      <c r="B14" s="145">
        <v>9492.0689999999995</v>
      </c>
      <c r="C14" s="165" t="s">
        <v>172</v>
      </c>
      <c r="D14" s="146">
        <v>10.199999999999999</v>
      </c>
      <c r="E14" s="155">
        <v>5.0999999999999996</v>
      </c>
      <c r="F14" s="120">
        <f t="shared" si="0"/>
        <v>-5.0999999999999996</v>
      </c>
      <c r="G14" s="144">
        <f t="shared" si="1"/>
        <v>-5.0489999999999995</v>
      </c>
      <c r="H14" s="143">
        <f t="shared" si="2"/>
        <v>0.15100000000000016</v>
      </c>
      <c r="I14" s="122">
        <f t="shared" si="3"/>
        <v>10.199999999999999</v>
      </c>
      <c r="J14" s="127">
        <f t="shared" si="4"/>
        <v>10.097999999999999</v>
      </c>
      <c r="K14" s="127">
        <f t="shared" si="5"/>
        <v>0.10200000000000031</v>
      </c>
      <c r="L14" s="119"/>
      <c r="M14" s="140">
        <f t="shared" si="6"/>
        <v>-0.70199999999999996</v>
      </c>
      <c r="N14" s="140">
        <f t="shared" si="7"/>
        <v>0.30790623572769682</v>
      </c>
      <c r="O14" s="140">
        <f t="shared" si="8"/>
        <v>4.3469999999999995</v>
      </c>
      <c r="P14" s="143">
        <f t="shared" si="11"/>
        <v>0.43048128342245989</v>
      </c>
      <c r="Q14" s="143">
        <f t="shared" si="12"/>
        <v>0.18925304352724981</v>
      </c>
    </row>
    <row r="15" spans="1:23">
      <c r="B15" s="145">
        <v>9492.07</v>
      </c>
      <c r="C15" s="165" t="s">
        <v>173</v>
      </c>
      <c r="D15" s="146">
        <v>10</v>
      </c>
      <c r="E15" s="155">
        <v>4.8</v>
      </c>
      <c r="F15" s="120">
        <f t="shared" si="0"/>
        <v>-5.2</v>
      </c>
      <c r="G15" s="144">
        <f t="shared" si="1"/>
        <v>-5.1479999999999997</v>
      </c>
      <c r="H15" s="143">
        <f t="shared" si="2"/>
        <v>0.1520000000000005</v>
      </c>
      <c r="I15" s="122">
        <f t="shared" si="3"/>
        <v>10</v>
      </c>
      <c r="J15" s="127">
        <f t="shared" si="4"/>
        <v>9.9</v>
      </c>
      <c r="K15" s="127">
        <f t="shared" si="5"/>
        <v>9.9999999999999645E-2</v>
      </c>
      <c r="L15" s="119"/>
      <c r="M15" s="140">
        <f t="shared" si="6"/>
        <v>-0.70199999999999996</v>
      </c>
      <c r="N15" s="140">
        <f t="shared" si="7"/>
        <v>0.30790623572769682</v>
      </c>
      <c r="O15" s="140">
        <f t="shared" si="8"/>
        <v>4.4459999999999997</v>
      </c>
      <c r="P15" s="143">
        <f t="shared" si="11"/>
        <v>0.44909090909090904</v>
      </c>
      <c r="Q15" s="143">
        <f t="shared" si="12"/>
        <v>0.1974228549634158</v>
      </c>
    </row>
    <row r="16" spans="1:23">
      <c r="B16" s="145">
        <v>9492.0709999999999</v>
      </c>
      <c r="C16" s="165" t="s">
        <v>174</v>
      </c>
      <c r="D16" s="146">
        <v>8.9</v>
      </c>
      <c r="E16" s="155">
        <v>4.5999999999999996</v>
      </c>
      <c r="F16" s="120">
        <f t="shared" si="0"/>
        <v>-4.3000000000000007</v>
      </c>
      <c r="G16" s="144">
        <f t="shared" si="1"/>
        <v>-4.2570000000000006</v>
      </c>
      <c r="H16" s="143">
        <f t="shared" si="2"/>
        <v>0.14300000000000015</v>
      </c>
      <c r="I16" s="122">
        <f t="shared" si="3"/>
        <v>8.9</v>
      </c>
      <c r="J16" s="127">
        <f t="shared" si="4"/>
        <v>8.8109999999999999</v>
      </c>
      <c r="K16" s="127">
        <f t="shared" si="5"/>
        <v>8.9000000000000412E-2</v>
      </c>
      <c r="L16" s="119"/>
      <c r="M16" s="140">
        <f t="shared" si="6"/>
        <v>-0.70199999999999996</v>
      </c>
      <c r="N16" s="140">
        <f t="shared" si="7"/>
        <v>0.30790623572769682</v>
      </c>
      <c r="O16" s="140">
        <f t="shared" si="8"/>
        <v>3.5550000000000006</v>
      </c>
      <c r="P16" s="143">
        <f t="shared" si="11"/>
        <v>0.40347293156281927</v>
      </c>
      <c r="Q16" s="143">
        <f t="shared" si="12"/>
        <v>0.17748666276836972</v>
      </c>
    </row>
    <row r="17" spans="2:17">
      <c r="B17" s="145">
        <v>9492.0720000000001</v>
      </c>
      <c r="C17" s="165" t="s">
        <v>175</v>
      </c>
      <c r="D17" s="146">
        <v>9.1</v>
      </c>
      <c r="E17" s="155">
        <v>4.5</v>
      </c>
      <c r="F17" s="120">
        <f t="shared" si="0"/>
        <v>-4.5999999999999996</v>
      </c>
      <c r="G17" s="144">
        <f t="shared" si="1"/>
        <v>-4.5539999999999994</v>
      </c>
      <c r="H17" s="143">
        <f t="shared" si="2"/>
        <v>0.14600000000000027</v>
      </c>
      <c r="I17" s="122">
        <f t="shared" si="3"/>
        <v>9.1</v>
      </c>
      <c r="J17" s="127">
        <f t="shared" si="4"/>
        <v>9.0090000000000003</v>
      </c>
      <c r="K17" s="127">
        <f t="shared" si="5"/>
        <v>9.0999999999999304E-2</v>
      </c>
      <c r="L17" s="119"/>
      <c r="M17" s="140">
        <f t="shared" si="6"/>
        <v>-0.70199999999999996</v>
      </c>
      <c r="N17" s="140">
        <f t="shared" si="7"/>
        <v>0.30790623572769682</v>
      </c>
      <c r="O17" s="140">
        <f t="shared" si="8"/>
        <v>3.8519999999999994</v>
      </c>
      <c r="P17" s="143">
        <f t="shared" si="11"/>
        <v>0.42757242757242747</v>
      </c>
      <c r="Q17" s="143">
        <f t="shared" si="12"/>
        <v>0.18803908006160666</v>
      </c>
    </row>
    <row r="18" spans="2:17">
      <c r="B18" s="145">
        <v>9492.0730000000003</v>
      </c>
      <c r="C18" s="165" t="s">
        <v>176</v>
      </c>
      <c r="D18" s="146">
        <v>8</v>
      </c>
      <c r="E18" s="155">
        <v>4.3</v>
      </c>
      <c r="F18" s="120">
        <f t="shared" si="0"/>
        <v>-3.7</v>
      </c>
      <c r="G18" s="144">
        <f t="shared" si="1"/>
        <v>-3.6630000000000003</v>
      </c>
      <c r="H18" s="143">
        <f t="shared" si="2"/>
        <v>0.13699999999999993</v>
      </c>
      <c r="I18" s="122">
        <f t="shared" si="3"/>
        <v>8</v>
      </c>
      <c r="J18" s="127">
        <f t="shared" si="4"/>
        <v>7.92</v>
      </c>
      <c r="K18" s="127">
        <f t="shared" si="5"/>
        <v>8.0000000000000071E-2</v>
      </c>
      <c r="L18" s="119"/>
      <c r="M18" s="140">
        <f t="shared" si="6"/>
        <v>-0.70199999999999996</v>
      </c>
      <c r="N18" s="140">
        <f t="shared" si="7"/>
        <v>0.30790623572769682</v>
      </c>
      <c r="O18" s="140">
        <f t="shared" si="8"/>
        <v>2.9610000000000003</v>
      </c>
      <c r="P18" s="143">
        <f t="shared" si="11"/>
        <v>0.3738636363636364</v>
      </c>
      <c r="Q18" s="143">
        <f t="shared" si="12"/>
        <v>0.16457649194854668</v>
      </c>
    </row>
    <row r="19" spans="2:17">
      <c r="B19" s="145">
        <v>9492.0740000000005</v>
      </c>
      <c r="C19" s="165" t="s">
        <v>177</v>
      </c>
      <c r="D19" s="146">
        <v>7.2</v>
      </c>
      <c r="E19" s="155">
        <v>4.2</v>
      </c>
      <c r="F19" s="120">
        <f t="shared" si="0"/>
        <v>-3</v>
      </c>
      <c r="G19" s="144">
        <f t="shared" si="1"/>
        <v>-2.9699999999999998</v>
      </c>
      <c r="H19" s="143">
        <f t="shared" si="2"/>
        <v>0.13000000000000025</v>
      </c>
      <c r="I19" s="122">
        <f t="shared" si="3"/>
        <v>7.2</v>
      </c>
      <c r="J19" s="127">
        <f t="shared" si="4"/>
        <v>7.1280000000000001</v>
      </c>
      <c r="K19" s="127">
        <f t="shared" si="5"/>
        <v>7.2000000000000064E-2</v>
      </c>
      <c r="L19" s="119"/>
      <c r="M19" s="140">
        <f t="shared" si="6"/>
        <v>-0.70199999999999996</v>
      </c>
      <c r="N19" s="140">
        <f t="shared" si="7"/>
        <v>0.30790623572769682</v>
      </c>
      <c r="O19" s="140">
        <f t="shared" si="8"/>
        <v>2.2679999999999998</v>
      </c>
      <c r="P19" s="143">
        <f t="shared" si="11"/>
        <v>0.31818181818181812</v>
      </c>
      <c r="Q19" s="143">
        <f t="shared" si="12"/>
        <v>0.14025184407235725</v>
      </c>
    </row>
    <row r="20" spans="2:17">
      <c r="B20" s="145">
        <v>9492.0750000000007</v>
      </c>
      <c r="C20" s="165" t="s">
        <v>178</v>
      </c>
      <c r="D20" s="146">
        <v>6.5</v>
      </c>
      <c r="E20" s="155">
        <v>4</v>
      </c>
      <c r="F20" s="120">
        <f t="shared" si="0"/>
        <v>-2.5</v>
      </c>
      <c r="G20" s="144">
        <f t="shared" si="1"/>
        <v>-2.4750000000000001</v>
      </c>
      <c r="H20" s="143">
        <f t="shared" si="2"/>
        <v>0.12499999999999992</v>
      </c>
      <c r="I20" s="122">
        <f t="shared" si="3"/>
        <v>6.5</v>
      </c>
      <c r="J20" s="127">
        <f t="shared" si="4"/>
        <v>6.4349999999999996</v>
      </c>
      <c r="K20" s="127">
        <f t="shared" si="5"/>
        <v>6.5000000000000391E-2</v>
      </c>
      <c r="L20" s="119"/>
      <c r="M20" s="140">
        <f t="shared" si="6"/>
        <v>-0.70199999999999996</v>
      </c>
      <c r="N20" s="140">
        <f t="shared" si="7"/>
        <v>0.30790623572769682</v>
      </c>
      <c r="O20" s="140">
        <f t="shared" si="8"/>
        <v>1.7730000000000001</v>
      </c>
      <c r="P20" s="143">
        <f t="shared" si="11"/>
        <v>0.27552447552447557</v>
      </c>
      <c r="Q20" s="143">
        <f t="shared" si="12"/>
        <v>0.12164710168090945</v>
      </c>
    </row>
    <row r="21" spans="2:17">
      <c r="B21" s="145">
        <v>9492.0759999999991</v>
      </c>
      <c r="C21" s="165" t="s">
        <v>179</v>
      </c>
      <c r="D21" s="146">
        <v>5.7</v>
      </c>
      <c r="E21" s="155">
        <v>3.9</v>
      </c>
      <c r="F21" s="120">
        <f t="shared" si="0"/>
        <v>-1.8000000000000003</v>
      </c>
      <c r="G21" s="144">
        <f t="shared" si="1"/>
        <v>-1.7820000000000003</v>
      </c>
      <c r="H21" s="143">
        <f t="shared" si="2"/>
        <v>0.11800000000000002</v>
      </c>
      <c r="I21" s="122">
        <f t="shared" si="3"/>
        <v>5.7</v>
      </c>
      <c r="J21" s="127">
        <f t="shared" si="4"/>
        <v>5.6429999999999998</v>
      </c>
      <c r="K21" s="127">
        <f t="shared" si="5"/>
        <v>5.7000000000000384E-2</v>
      </c>
      <c r="L21" s="119"/>
      <c r="M21" s="140">
        <f t="shared" si="6"/>
        <v>-0.70199999999999996</v>
      </c>
      <c r="N21" s="140">
        <f t="shared" si="7"/>
        <v>0.30790623572769682</v>
      </c>
      <c r="O21" s="140">
        <f t="shared" si="8"/>
        <v>1.0800000000000003</v>
      </c>
      <c r="P21" s="143">
        <f t="shared" si="11"/>
        <v>0.1913875598086125</v>
      </c>
      <c r="Q21" s="143">
        <f t="shared" si="12"/>
        <v>8.4896302723123901E-2</v>
      </c>
    </row>
    <row r="22" spans="2:17">
      <c r="B22" s="145">
        <v>9492.0769999999993</v>
      </c>
      <c r="C22" s="165" t="s">
        <v>180</v>
      </c>
      <c r="D22" s="146">
        <v>5.8</v>
      </c>
      <c r="E22" s="155">
        <v>3.7</v>
      </c>
      <c r="F22" s="120">
        <f t="shared" si="0"/>
        <v>-2.0999999999999996</v>
      </c>
      <c r="G22" s="144">
        <f t="shared" si="1"/>
        <v>-2.0789999999999997</v>
      </c>
      <c r="H22" s="143">
        <f t="shared" si="2"/>
        <v>0.12099999999999991</v>
      </c>
      <c r="I22" s="122">
        <f t="shared" si="3"/>
        <v>5.8</v>
      </c>
      <c r="J22" s="127">
        <f t="shared" si="4"/>
        <v>5.742</v>
      </c>
      <c r="K22" s="127">
        <f t="shared" si="5"/>
        <v>5.7999999999999829E-2</v>
      </c>
      <c r="L22" s="119"/>
      <c r="M22" s="140">
        <f t="shared" si="6"/>
        <v>-0.70199999999999996</v>
      </c>
      <c r="N22" s="140">
        <f t="shared" si="7"/>
        <v>0.30790623572769682</v>
      </c>
      <c r="O22" s="140">
        <f t="shared" si="8"/>
        <v>1.3769999999999998</v>
      </c>
      <c r="P22" s="143">
        <f t="shared" si="11"/>
        <v>0.2398119122257053</v>
      </c>
      <c r="Q22" s="143">
        <f t="shared" si="12"/>
        <v>0.1061065723334428</v>
      </c>
    </row>
    <row r="23" spans="2:17">
      <c r="B23" s="137">
        <v>9492.0779999999995</v>
      </c>
      <c r="C23" s="165" t="s">
        <v>181</v>
      </c>
      <c r="D23" s="146">
        <v>5.3</v>
      </c>
      <c r="E23" s="155">
        <v>3.5</v>
      </c>
      <c r="F23" s="120">
        <f t="shared" si="0"/>
        <v>-1.7999999999999998</v>
      </c>
      <c r="G23" s="144">
        <f t="shared" si="1"/>
        <v>-1.7819999999999998</v>
      </c>
      <c r="H23" s="143">
        <f t="shared" si="2"/>
        <v>0.11800000000000002</v>
      </c>
      <c r="I23" s="122">
        <f t="shared" si="3"/>
        <v>5.3</v>
      </c>
      <c r="J23" s="127">
        <f t="shared" si="4"/>
        <v>5.2469999999999999</v>
      </c>
      <c r="K23" s="127">
        <f t="shared" si="5"/>
        <v>5.2999999999999936E-2</v>
      </c>
      <c r="L23" s="119"/>
      <c r="M23" s="140">
        <f t="shared" si="6"/>
        <v>-0.70199999999999996</v>
      </c>
      <c r="N23" s="140">
        <f t="shared" si="7"/>
        <v>0.30790623572769682</v>
      </c>
      <c r="O23" s="140">
        <f t="shared" si="8"/>
        <v>1.0799999999999998</v>
      </c>
      <c r="P23" s="143">
        <f t="shared" si="11"/>
        <v>0.20583190394511147</v>
      </c>
      <c r="Q23" s="143">
        <f t="shared" si="12"/>
        <v>9.1303570853170965E-2</v>
      </c>
    </row>
    <row r="24" spans="2:17">
      <c r="B24" s="137">
        <v>9492.0789999999997</v>
      </c>
      <c r="C24" s="165" t="s">
        <v>182</v>
      </c>
      <c r="D24" s="146">
        <v>4.8</v>
      </c>
      <c r="E24" s="155">
        <v>3.6</v>
      </c>
      <c r="F24" s="120">
        <f t="shared" si="0"/>
        <v>-1.1999999999999997</v>
      </c>
      <c r="G24" s="144">
        <f t="shared" si="1"/>
        <v>-1.1879999999999997</v>
      </c>
      <c r="H24" s="143">
        <f t="shared" si="2"/>
        <v>0.11200000000000002</v>
      </c>
      <c r="I24" s="122">
        <f t="shared" si="3"/>
        <v>4.8</v>
      </c>
      <c r="J24" s="127">
        <f t="shared" si="4"/>
        <v>4.7519999999999998</v>
      </c>
      <c r="K24" s="127">
        <f t="shared" si="5"/>
        <v>4.8000000000000043E-2</v>
      </c>
      <c r="L24" s="119"/>
      <c r="M24" s="140">
        <f t="shared" si="6"/>
        <v>-0.70199999999999996</v>
      </c>
      <c r="N24" s="140">
        <f t="shared" si="7"/>
        <v>0.30790623572769682</v>
      </c>
      <c r="O24" s="140">
        <f t="shared" si="8"/>
        <v>0.48599999999999977</v>
      </c>
      <c r="P24" s="143">
        <f t="shared" si="11"/>
        <v>0.10227272727272722</v>
      </c>
      <c r="Q24" s="143">
        <f t="shared" si="12"/>
        <v>4.5882654216232874E-2</v>
      </c>
    </row>
    <row r="25" spans="2:17">
      <c r="B25" s="137">
        <v>9492.08</v>
      </c>
      <c r="C25" s="165" t="s">
        <v>183</v>
      </c>
      <c r="D25" s="146">
        <v>4.0999999999999996</v>
      </c>
      <c r="E25" s="155">
        <v>3.1</v>
      </c>
      <c r="F25" s="120">
        <f t="shared" si="0"/>
        <v>-0.99999999999999956</v>
      </c>
      <c r="G25" s="144">
        <f t="shared" si="1"/>
        <v>-0.98999999999999955</v>
      </c>
      <c r="H25" s="143">
        <f t="shared" si="2"/>
        <v>0.11000000000000001</v>
      </c>
      <c r="I25" s="122">
        <f t="shared" si="3"/>
        <v>4.0999999999999996</v>
      </c>
      <c r="J25" s="127">
        <f t="shared" si="4"/>
        <v>4.0589999999999993</v>
      </c>
      <c r="K25" s="127">
        <f t="shared" si="5"/>
        <v>4.1000000000000369E-2</v>
      </c>
      <c r="L25" s="119"/>
      <c r="M25" s="140">
        <f t="shared" si="6"/>
        <v>-0.70199999999999996</v>
      </c>
      <c r="N25" s="140">
        <f t="shared" si="7"/>
        <v>0.30790623572769682</v>
      </c>
      <c r="O25" s="140">
        <f t="shared" si="8"/>
        <v>0.28799999999999959</v>
      </c>
      <c r="P25" s="143">
        <f t="shared" si="11"/>
        <v>7.095343680709526E-2</v>
      </c>
      <c r="Q25" s="143">
        <f t="shared" si="12"/>
        <v>3.2104131336499017E-2</v>
      </c>
    </row>
    <row r="26" spans="2:17">
      <c r="B26" s="137">
        <v>9492.0810000000001</v>
      </c>
      <c r="C26" s="165" t="s">
        <v>184</v>
      </c>
      <c r="D26" s="146">
        <v>3.6</v>
      </c>
      <c r="E26" s="155">
        <v>2.7</v>
      </c>
      <c r="F26" s="120">
        <f t="shared" si="0"/>
        <v>-0.89999999999999991</v>
      </c>
      <c r="G26" s="144">
        <f t="shared" si="1"/>
        <v>-0.8909999999999999</v>
      </c>
      <c r="H26" s="143">
        <f t="shared" si="2"/>
        <v>0.10900000000000001</v>
      </c>
      <c r="I26" s="122">
        <f t="shared" si="3"/>
        <v>3.6</v>
      </c>
      <c r="J26" s="127">
        <f t="shared" si="4"/>
        <v>3.5640000000000001</v>
      </c>
      <c r="K26" s="127">
        <f t="shared" si="5"/>
        <v>3.6000000000000032E-2</v>
      </c>
      <c r="L26" s="119"/>
      <c r="M26" s="140">
        <f t="shared" si="6"/>
        <v>-0.70199999999999996</v>
      </c>
      <c r="N26" s="140">
        <f t="shared" si="7"/>
        <v>0.30790623572769682</v>
      </c>
      <c r="O26" s="140">
        <f t="shared" si="8"/>
        <v>0.18899999999999995</v>
      </c>
      <c r="P26" s="143">
        <f t="shared" si="11"/>
        <v>5.3030303030303011E-2</v>
      </c>
      <c r="Q26" s="143">
        <f t="shared" si="12"/>
        <v>2.4147543410307639E-2</v>
      </c>
    </row>
    <row r="27" spans="2:17">
      <c r="B27" s="145">
        <v>9492.0820000000003</v>
      </c>
      <c r="C27" s="165" t="s">
        <v>185</v>
      </c>
      <c r="D27" s="146">
        <v>4.2</v>
      </c>
      <c r="E27" s="155">
        <v>2.7</v>
      </c>
      <c r="F27" s="120">
        <f t="shared" si="0"/>
        <v>-1.5</v>
      </c>
      <c r="G27" s="144">
        <f t="shared" si="1"/>
        <v>-1.4849999999999999</v>
      </c>
      <c r="H27" s="143">
        <f t="shared" si="2"/>
        <v>0.11500000000000013</v>
      </c>
      <c r="I27" s="122">
        <f t="shared" si="3"/>
        <v>4.2</v>
      </c>
      <c r="J27" s="127">
        <f t="shared" si="4"/>
        <v>4.1580000000000004</v>
      </c>
      <c r="K27" s="127">
        <f t="shared" si="5"/>
        <v>4.1999999999999815E-2</v>
      </c>
      <c r="L27" s="119"/>
      <c r="M27" s="140">
        <f t="shared" si="6"/>
        <v>-0.70199999999999996</v>
      </c>
      <c r="N27" s="140">
        <f t="shared" si="7"/>
        <v>0.30790623572769682</v>
      </c>
      <c r="O27" s="140">
        <f t="shared" si="8"/>
        <v>0.78299999999999992</v>
      </c>
      <c r="P27" s="143">
        <f t="shared" si="11"/>
        <v>0.18831168831168826</v>
      </c>
      <c r="Q27" s="143">
        <f t="shared" si="12"/>
        <v>8.3873436480924171E-2</v>
      </c>
    </row>
    <row r="28" spans="2:17">
      <c r="B28" s="145">
        <v>9492.0830000000005</v>
      </c>
      <c r="C28" s="165" t="s">
        <v>186</v>
      </c>
      <c r="D28" s="146">
        <v>3.7</v>
      </c>
      <c r="E28" s="155">
        <v>2.2000000000000002</v>
      </c>
      <c r="F28" s="120">
        <f t="shared" si="0"/>
        <v>-1.5</v>
      </c>
      <c r="G28" s="144">
        <f t="shared" si="1"/>
        <v>-1.4849999999999999</v>
      </c>
      <c r="H28" s="143">
        <f t="shared" si="2"/>
        <v>0.11500000000000013</v>
      </c>
      <c r="I28" s="122">
        <f t="shared" si="3"/>
        <v>3.7</v>
      </c>
      <c r="J28" s="127">
        <f t="shared" si="4"/>
        <v>3.6630000000000003</v>
      </c>
      <c r="K28" s="127">
        <f t="shared" si="5"/>
        <v>3.6999999999999922E-2</v>
      </c>
      <c r="L28" s="119"/>
      <c r="M28" s="140">
        <f t="shared" si="6"/>
        <v>-0.70199999999999996</v>
      </c>
      <c r="N28" s="140">
        <f t="shared" si="7"/>
        <v>0.30790623572769682</v>
      </c>
      <c r="O28" s="140">
        <f t="shared" si="8"/>
        <v>0.78299999999999992</v>
      </c>
      <c r="P28" s="143">
        <f t="shared" si="11"/>
        <v>0.21375921375921372</v>
      </c>
      <c r="Q28" s="143">
        <f t="shared" si="12"/>
        <v>9.5207684654022046E-2</v>
      </c>
    </row>
    <row r="29" spans="2:17">
      <c r="B29" s="145">
        <v>9492.0840000000007</v>
      </c>
      <c r="C29" s="165" t="s">
        <v>187</v>
      </c>
      <c r="D29" s="146">
        <v>3.4</v>
      </c>
      <c r="E29" s="155">
        <v>1.7</v>
      </c>
      <c r="F29" s="120">
        <f t="shared" si="0"/>
        <v>-1.7</v>
      </c>
      <c r="G29" s="144">
        <f t="shared" si="1"/>
        <v>-1.6830000000000001</v>
      </c>
      <c r="H29" s="143">
        <f t="shared" si="2"/>
        <v>0.11699999999999991</v>
      </c>
      <c r="I29" s="122">
        <f t="shared" si="3"/>
        <v>3.4</v>
      </c>
      <c r="J29" s="127">
        <f t="shared" si="4"/>
        <v>3.3660000000000001</v>
      </c>
      <c r="K29" s="127">
        <f t="shared" si="5"/>
        <v>3.3999999999999808E-2</v>
      </c>
      <c r="L29" s="119"/>
      <c r="M29" s="140">
        <f t="shared" si="6"/>
        <v>-0.70199999999999996</v>
      </c>
      <c r="N29" s="140">
        <f t="shared" si="7"/>
        <v>0.30790623572769682</v>
      </c>
      <c r="O29" s="140">
        <f t="shared" si="8"/>
        <v>0.98100000000000009</v>
      </c>
      <c r="P29" s="143">
        <f t="shared" si="11"/>
        <v>0.29144385026737968</v>
      </c>
      <c r="Q29" s="143">
        <f t="shared" si="12"/>
        <v>0.12942670055604874</v>
      </c>
    </row>
    <row r="30" spans="2:17">
      <c r="B30" s="145">
        <v>9492.0849999999991</v>
      </c>
      <c r="C30" s="165" t="s">
        <v>188</v>
      </c>
      <c r="D30" s="146">
        <v>3.1</v>
      </c>
      <c r="E30" s="155">
        <v>1.4</v>
      </c>
      <c r="F30" s="120">
        <f t="shared" si="0"/>
        <v>-1.7000000000000002</v>
      </c>
      <c r="G30" s="144">
        <f t="shared" si="1"/>
        <v>-1.6830000000000001</v>
      </c>
      <c r="H30" s="143">
        <f t="shared" si="2"/>
        <v>0.11700000000000013</v>
      </c>
      <c r="I30" s="122">
        <f t="shared" si="3"/>
        <v>3.1</v>
      </c>
      <c r="J30" s="127">
        <f t="shared" si="4"/>
        <v>3.069</v>
      </c>
      <c r="K30" s="127">
        <f t="shared" si="5"/>
        <v>3.1000000000000139E-2</v>
      </c>
      <c r="L30" s="119"/>
      <c r="M30" s="140">
        <f t="shared" si="6"/>
        <v>-0.70199999999999996</v>
      </c>
      <c r="N30" s="140">
        <f t="shared" si="7"/>
        <v>0.30790623572769682</v>
      </c>
      <c r="O30" s="140">
        <f t="shared" si="8"/>
        <v>0.98100000000000009</v>
      </c>
      <c r="P30" s="143">
        <f t="shared" si="11"/>
        <v>0.31964809384164228</v>
      </c>
      <c r="Q30" s="143">
        <f t="shared" si="12"/>
        <v>0.14195186512598895</v>
      </c>
    </row>
    <row r="31" spans="2:17">
      <c r="B31" s="145">
        <v>9492.0859999999993</v>
      </c>
      <c r="C31" s="165" t="s">
        <v>189</v>
      </c>
      <c r="D31" s="146">
        <v>3.1</v>
      </c>
      <c r="E31" s="155">
        <v>1.2</v>
      </c>
      <c r="F31" s="120">
        <f t="shared" si="0"/>
        <v>-1.9000000000000001</v>
      </c>
      <c r="G31" s="144">
        <f t="shared" si="1"/>
        <v>-1.881</v>
      </c>
      <c r="H31" s="143">
        <f t="shared" si="2"/>
        <v>0.11900000000000013</v>
      </c>
      <c r="I31" s="122">
        <f t="shared" si="3"/>
        <v>3.1</v>
      </c>
      <c r="J31" s="127">
        <f t="shared" si="4"/>
        <v>3.069</v>
      </c>
      <c r="K31" s="127">
        <f t="shared" si="5"/>
        <v>3.1000000000000139E-2</v>
      </c>
      <c r="L31" s="119"/>
      <c r="M31" s="140">
        <f t="shared" si="6"/>
        <v>-0.70199999999999996</v>
      </c>
      <c r="N31" s="140">
        <f t="shared" si="7"/>
        <v>0.30790623572769682</v>
      </c>
      <c r="O31" s="140">
        <f t="shared" si="8"/>
        <v>1.179</v>
      </c>
      <c r="P31" s="143">
        <f t="shared" si="11"/>
        <v>0.38416422287390034</v>
      </c>
      <c r="Q31" s="143">
        <f t="shared" si="12"/>
        <v>0.17024310795256486</v>
      </c>
    </row>
    <row r="32" spans="2:17">
      <c r="B32" s="145">
        <v>9492.0869999999995</v>
      </c>
      <c r="C32" s="165" t="s">
        <v>190</v>
      </c>
      <c r="D32" s="146">
        <v>2.2999999999999998</v>
      </c>
      <c r="E32" s="155">
        <v>1.1000000000000001</v>
      </c>
      <c r="F32" s="120">
        <f t="shared" si="0"/>
        <v>-1.1999999999999997</v>
      </c>
      <c r="G32" s="144">
        <f t="shared" si="1"/>
        <v>-1.1879999999999997</v>
      </c>
      <c r="H32" s="143">
        <f t="shared" si="2"/>
        <v>0.11200000000000002</v>
      </c>
      <c r="I32" s="122">
        <f t="shared" si="3"/>
        <v>2.2999999999999998</v>
      </c>
      <c r="J32" s="127">
        <f t="shared" si="4"/>
        <v>2.2769999999999997</v>
      </c>
      <c r="K32" s="127">
        <f t="shared" si="5"/>
        <v>2.3000000000000131E-2</v>
      </c>
      <c r="L32" s="119"/>
      <c r="M32" s="140">
        <f t="shared" si="6"/>
        <v>-0.70199999999999996</v>
      </c>
      <c r="N32" s="140">
        <f t="shared" si="7"/>
        <v>0.30790623572769682</v>
      </c>
      <c r="O32" s="140">
        <f t="shared" si="8"/>
        <v>0.48599999999999977</v>
      </c>
      <c r="P32" s="143">
        <f t="shared" si="11"/>
        <v>0.21343873517786555</v>
      </c>
      <c r="Q32" s="143">
        <f t="shared" si="12"/>
        <v>9.5755104451268613E-2</v>
      </c>
    </row>
    <row r="33" spans="2:17">
      <c r="B33" s="145">
        <v>9492.0879999999997</v>
      </c>
      <c r="C33" s="165" t="s">
        <v>191</v>
      </c>
      <c r="D33" s="146">
        <v>2.2000000000000002</v>
      </c>
      <c r="E33" s="155">
        <v>1</v>
      </c>
      <c r="F33" s="120">
        <f t="shared" si="0"/>
        <v>-1.2000000000000002</v>
      </c>
      <c r="G33" s="144">
        <f t="shared" si="1"/>
        <v>-1.1880000000000002</v>
      </c>
      <c r="H33" s="143">
        <f t="shared" si="2"/>
        <v>0.11200000000000002</v>
      </c>
      <c r="I33" s="122">
        <f t="shared" si="3"/>
        <v>2.2000000000000002</v>
      </c>
      <c r="J33" s="127">
        <f t="shared" si="4"/>
        <v>2.1779999999999999</v>
      </c>
      <c r="K33" s="127">
        <f t="shared" si="5"/>
        <v>2.2000000000000242E-2</v>
      </c>
      <c r="L33" s="119"/>
      <c r="M33" s="140">
        <f t="shared" si="6"/>
        <v>-0.70199999999999996</v>
      </c>
      <c r="N33" s="140">
        <f t="shared" si="7"/>
        <v>0.30790623572769682</v>
      </c>
      <c r="O33" s="140">
        <f t="shared" si="8"/>
        <v>0.48600000000000021</v>
      </c>
      <c r="P33" s="143">
        <f t="shared" si="11"/>
        <v>0.22314049586776868</v>
      </c>
      <c r="Q33" s="143">
        <f t="shared" si="12"/>
        <v>0.10010760919905362</v>
      </c>
    </row>
    <row r="34" spans="2:17">
      <c r="B34" s="145">
        <v>9492.0889999999999</v>
      </c>
      <c r="C34" s="165" t="s">
        <v>192</v>
      </c>
      <c r="D34" s="146">
        <v>3.1</v>
      </c>
      <c r="E34" s="155">
        <v>1.4</v>
      </c>
      <c r="F34" s="120">
        <f t="shared" si="0"/>
        <v>-1.7000000000000002</v>
      </c>
      <c r="G34" s="144">
        <f t="shared" si="1"/>
        <v>-1.6830000000000001</v>
      </c>
      <c r="H34" s="143">
        <f t="shared" si="2"/>
        <v>0.11700000000000013</v>
      </c>
      <c r="I34" s="122">
        <f t="shared" si="3"/>
        <v>3.1</v>
      </c>
      <c r="J34" s="127">
        <f t="shared" si="4"/>
        <v>3.069</v>
      </c>
      <c r="K34" s="127">
        <f t="shared" si="5"/>
        <v>3.1000000000000139E-2</v>
      </c>
      <c r="L34" s="119"/>
      <c r="M34" s="140">
        <f t="shared" si="6"/>
        <v>-0.70199999999999996</v>
      </c>
      <c r="N34" s="140">
        <f t="shared" si="7"/>
        <v>0.30790623572769682</v>
      </c>
      <c r="O34" s="140">
        <f t="shared" si="8"/>
        <v>0.98100000000000009</v>
      </c>
      <c r="P34" s="143">
        <f t="shared" si="11"/>
        <v>0.31964809384164228</v>
      </c>
      <c r="Q34" s="143">
        <f t="shared" si="12"/>
        <v>0.14195186512598895</v>
      </c>
    </row>
    <row r="35" spans="2:17">
      <c r="B35" s="145">
        <v>9492.09</v>
      </c>
      <c r="C35" s="165" t="s">
        <v>193</v>
      </c>
      <c r="D35" s="146">
        <v>2.6</v>
      </c>
      <c r="E35" s="155">
        <v>0.9</v>
      </c>
      <c r="F35" s="120">
        <f t="shared" si="0"/>
        <v>-1.7000000000000002</v>
      </c>
      <c r="G35" s="144">
        <f t="shared" si="1"/>
        <v>-1.6830000000000001</v>
      </c>
      <c r="H35" s="143">
        <f t="shared" si="2"/>
        <v>0.11700000000000013</v>
      </c>
      <c r="I35" s="122">
        <f t="shared" si="3"/>
        <v>2.6</v>
      </c>
      <c r="J35" s="127">
        <f t="shared" si="4"/>
        <v>2.5739999999999998</v>
      </c>
      <c r="K35" s="127">
        <f t="shared" si="5"/>
        <v>2.6000000000000245E-2</v>
      </c>
      <c r="L35" s="119"/>
      <c r="M35" s="140">
        <f t="shared" si="6"/>
        <v>-0.70199999999999996</v>
      </c>
      <c r="N35" s="140">
        <f t="shared" si="7"/>
        <v>0.30790623572769682</v>
      </c>
      <c r="O35" s="140">
        <f t="shared" si="8"/>
        <v>0.98100000000000009</v>
      </c>
      <c r="P35" s="143">
        <f t="shared" si="11"/>
        <v>0.3811188811188812</v>
      </c>
      <c r="Q35" s="143">
        <f t="shared" si="12"/>
        <v>0.1692503007271407</v>
      </c>
    </row>
    <row r="36" spans="2:17">
      <c r="B36" s="145">
        <v>9492.0910000000003</v>
      </c>
      <c r="C36" s="165" t="s">
        <v>194</v>
      </c>
      <c r="D36" s="146">
        <v>5.4</v>
      </c>
      <c r="E36" s="155">
        <v>1.9</v>
      </c>
      <c r="F36" s="120">
        <f t="shared" si="0"/>
        <v>-3.5000000000000004</v>
      </c>
      <c r="G36" s="144">
        <f t="shared" si="1"/>
        <v>-3.4650000000000003</v>
      </c>
      <c r="H36" s="143">
        <f t="shared" si="2"/>
        <v>0.13500000000000015</v>
      </c>
      <c r="I36" s="122">
        <f t="shared" si="3"/>
        <v>5.4</v>
      </c>
      <c r="J36" s="127">
        <f t="shared" si="4"/>
        <v>5.3460000000000001</v>
      </c>
      <c r="K36" s="127">
        <f t="shared" si="5"/>
        <v>5.400000000000027E-2</v>
      </c>
      <c r="L36" s="119"/>
      <c r="M36" s="140">
        <f t="shared" si="6"/>
        <v>-0.70199999999999996</v>
      </c>
      <c r="N36" s="140">
        <f t="shared" si="7"/>
        <v>0.30790623572769682</v>
      </c>
      <c r="O36" s="140">
        <f t="shared" si="8"/>
        <v>2.7630000000000003</v>
      </c>
      <c r="P36" s="143">
        <f t="shared" si="11"/>
        <v>0.51683501683501687</v>
      </c>
      <c r="Q36" s="143">
        <f t="shared" si="12"/>
        <v>0.22758307140701989</v>
      </c>
    </row>
    <row r="37" spans="2:17">
      <c r="B37" s="145">
        <v>9492.0930000000008</v>
      </c>
      <c r="C37" s="165" t="s">
        <v>195</v>
      </c>
      <c r="D37" s="146">
        <v>2.5</v>
      </c>
      <c r="E37" s="155">
        <v>0.9</v>
      </c>
      <c r="F37" s="120">
        <f t="shared" si="0"/>
        <v>-1.6</v>
      </c>
      <c r="G37" s="144">
        <f t="shared" si="1"/>
        <v>-1.5840000000000001</v>
      </c>
      <c r="H37" s="143">
        <f t="shared" si="2"/>
        <v>0.11600000000000002</v>
      </c>
      <c r="I37" s="122">
        <f t="shared" si="3"/>
        <v>2.5</v>
      </c>
      <c r="J37" s="127">
        <f t="shared" si="4"/>
        <v>2.4750000000000001</v>
      </c>
      <c r="K37" s="127">
        <f t="shared" si="5"/>
        <v>2.4999999999999911E-2</v>
      </c>
      <c r="L37" s="119"/>
      <c r="M37" s="140">
        <f t="shared" si="6"/>
        <v>-0.70199999999999996</v>
      </c>
      <c r="N37" s="140">
        <f t="shared" si="7"/>
        <v>0.30790623572769682</v>
      </c>
      <c r="O37" s="140">
        <f t="shared" si="8"/>
        <v>0.88200000000000012</v>
      </c>
      <c r="P37" s="143">
        <f t="shared" si="11"/>
        <v>0.35636363636363638</v>
      </c>
      <c r="Q37" s="143">
        <f t="shared" si="12"/>
        <v>0.15846935323469483</v>
      </c>
    </row>
    <row r="38" spans="2:17">
      <c r="B38" s="145">
        <v>9492.0939999999991</v>
      </c>
      <c r="C38" s="165" t="s">
        <v>196</v>
      </c>
      <c r="D38" s="146">
        <v>3.1</v>
      </c>
      <c r="E38" s="155">
        <v>1.5</v>
      </c>
      <c r="F38" s="120">
        <f t="shared" si="0"/>
        <v>-1.6</v>
      </c>
      <c r="G38" s="144">
        <f t="shared" si="1"/>
        <v>-1.5840000000000001</v>
      </c>
      <c r="H38" s="143">
        <f t="shared" si="2"/>
        <v>0.11600000000000002</v>
      </c>
      <c r="I38" s="122">
        <f t="shared" si="3"/>
        <v>3.1</v>
      </c>
      <c r="J38" s="127">
        <f t="shared" si="4"/>
        <v>3.069</v>
      </c>
      <c r="K38" s="127">
        <f t="shared" si="5"/>
        <v>3.1000000000000139E-2</v>
      </c>
      <c r="L38" s="119"/>
      <c r="M38" s="140">
        <f t="shared" si="6"/>
        <v>-0.70199999999999996</v>
      </c>
      <c r="N38" s="140">
        <f t="shared" si="7"/>
        <v>0.30790623572769682</v>
      </c>
      <c r="O38" s="140">
        <f t="shared" si="8"/>
        <v>0.88200000000000012</v>
      </c>
      <c r="P38" s="143">
        <f t="shared" si="11"/>
        <v>0.28739002932551322</v>
      </c>
      <c r="Q38" s="143">
        <f t="shared" si="12"/>
        <v>0.12779786551185068</v>
      </c>
    </row>
    <row r="39" spans="2:17">
      <c r="B39" s="145">
        <v>9492.0949999999993</v>
      </c>
      <c r="C39" s="165" t="s">
        <v>197</v>
      </c>
      <c r="D39" s="146">
        <v>3.8</v>
      </c>
      <c r="E39" s="155">
        <v>2.1</v>
      </c>
      <c r="F39" s="120">
        <f t="shared" si="0"/>
        <v>-1.6999999999999997</v>
      </c>
      <c r="G39" s="144">
        <f t="shared" si="1"/>
        <v>-1.6829999999999998</v>
      </c>
      <c r="H39" s="143">
        <f t="shared" si="2"/>
        <v>0.11699999999999991</v>
      </c>
      <c r="I39" s="122">
        <f t="shared" si="3"/>
        <v>3.8</v>
      </c>
      <c r="J39" s="127">
        <f t="shared" si="4"/>
        <v>3.762</v>
      </c>
      <c r="K39" s="127">
        <f t="shared" si="5"/>
        <v>3.7999999999999812E-2</v>
      </c>
      <c r="L39" s="119"/>
      <c r="M39" s="140">
        <f t="shared" si="6"/>
        <v>-0.70199999999999996</v>
      </c>
      <c r="N39" s="140">
        <f t="shared" si="7"/>
        <v>0.30790623572769682</v>
      </c>
      <c r="O39" s="140">
        <f t="shared" si="8"/>
        <v>0.98099999999999987</v>
      </c>
      <c r="P39" s="143">
        <f t="shared" si="11"/>
        <v>0.26076555023923442</v>
      </c>
      <c r="Q39" s="143">
        <f t="shared" si="12"/>
        <v>0.11580283733962254</v>
      </c>
    </row>
    <row r="40" spans="2:17">
      <c r="B40" s="137">
        <v>9492.0959999999995</v>
      </c>
      <c r="C40" s="165" t="s">
        <v>198</v>
      </c>
      <c r="D40" s="146">
        <v>3.9</v>
      </c>
      <c r="E40" s="155">
        <v>3</v>
      </c>
      <c r="F40" s="120">
        <f t="shared" si="0"/>
        <v>-0.89999999999999991</v>
      </c>
      <c r="G40" s="144">
        <f t="shared" si="1"/>
        <v>-0.8909999999999999</v>
      </c>
      <c r="H40" s="143">
        <f t="shared" si="2"/>
        <v>0.10900000000000001</v>
      </c>
      <c r="I40" s="122">
        <f t="shared" si="3"/>
        <v>3.9</v>
      </c>
      <c r="J40" s="127">
        <f t="shared" si="4"/>
        <v>3.8609999999999998</v>
      </c>
      <c r="K40" s="127">
        <f t="shared" si="5"/>
        <v>3.9000000000000146E-2</v>
      </c>
      <c r="L40" s="119"/>
      <c r="M40" s="140">
        <f t="shared" si="6"/>
        <v>-0.70199999999999996</v>
      </c>
      <c r="N40" s="140">
        <f t="shared" si="7"/>
        <v>0.30790623572769682</v>
      </c>
      <c r="O40" s="140">
        <f t="shared" si="8"/>
        <v>0.18899999999999995</v>
      </c>
      <c r="P40" s="143">
        <f t="shared" si="11"/>
        <v>4.8951048951048938E-2</v>
      </c>
      <c r="Q40" s="143">
        <f t="shared" si="12"/>
        <v>2.2290040071053209E-2</v>
      </c>
    </row>
    <row r="41" spans="2:17">
      <c r="B41" s="137">
        <v>9492.0969999999998</v>
      </c>
      <c r="C41" s="165" t="s">
        <v>199</v>
      </c>
      <c r="D41" s="146">
        <v>4.8</v>
      </c>
      <c r="E41" s="155">
        <v>3.4</v>
      </c>
      <c r="F41" s="120">
        <f t="shared" si="0"/>
        <v>-1.4</v>
      </c>
      <c r="G41" s="144">
        <f t="shared" si="1"/>
        <v>-1.3859999999999999</v>
      </c>
      <c r="H41" s="143">
        <f t="shared" si="2"/>
        <v>0.11400000000000002</v>
      </c>
      <c r="I41" s="122">
        <f t="shared" si="3"/>
        <v>4.8</v>
      </c>
      <c r="J41" s="127">
        <f t="shared" si="4"/>
        <v>4.7519999999999998</v>
      </c>
      <c r="K41" s="127">
        <f t="shared" si="5"/>
        <v>4.8000000000000043E-2</v>
      </c>
      <c r="L41" s="119"/>
      <c r="M41" s="140">
        <f t="shared" si="6"/>
        <v>-0.70199999999999996</v>
      </c>
      <c r="N41" s="140">
        <f t="shared" si="7"/>
        <v>0.30790623572769682</v>
      </c>
      <c r="O41" s="140">
        <f t="shared" si="8"/>
        <v>0.68399999999999994</v>
      </c>
      <c r="P41" s="143">
        <f t="shared" si="11"/>
        <v>0.14393939393939392</v>
      </c>
      <c r="Q41" s="143">
        <f t="shared" si="12"/>
        <v>6.4234152657628191E-2</v>
      </c>
    </row>
    <row r="42" spans="2:17">
      <c r="B42" s="145">
        <v>9492.098</v>
      </c>
      <c r="C42" s="165" t="s">
        <v>200</v>
      </c>
      <c r="D42" s="146">
        <v>5.7</v>
      </c>
      <c r="E42" s="155">
        <v>3.8</v>
      </c>
      <c r="F42" s="120">
        <f t="shared" si="0"/>
        <v>-1.9000000000000004</v>
      </c>
      <c r="G42" s="144">
        <f t="shared" si="1"/>
        <v>-1.8810000000000002</v>
      </c>
      <c r="H42" s="143">
        <f t="shared" si="2"/>
        <v>0.11900000000000013</v>
      </c>
      <c r="I42" s="122">
        <f t="shared" si="3"/>
        <v>5.7</v>
      </c>
      <c r="J42" s="127">
        <f t="shared" si="4"/>
        <v>5.6429999999999998</v>
      </c>
      <c r="K42" s="127">
        <f t="shared" si="5"/>
        <v>5.7000000000000384E-2</v>
      </c>
      <c r="L42" s="119"/>
      <c r="M42" s="140">
        <f t="shared" si="6"/>
        <v>-0.70199999999999996</v>
      </c>
      <c r="N42" s="140">
        <f t="shared" si="7"/>
        <v>0.30790623572769682</v>
      </c>
      <c r="O42" s="140">
        <f t="shared" si="8"/>
        <v>1.1790000000000003</v>
      </c>
      <c r="P42" s="143">
        <f t="shared" si="11"/>
        <v>0.2089314194577353</v>
      </c>
      <c r="Q42" s="143">
        <f t="shared" si="12"/>
        <v>9.2588356956658097E-2</v>
      </c>
    </row>
    <row r="43" spans="2:17">
      <c r="B43" s="145">
        <v>9492.0990000000002</v>
      </c>
      <c r="C43" s="165" t="s">
        <v>201</v>
      </c>
      <c r="D43" s="146">
        <v>6.6</v>
      </c>
      <c r="E43" s="155">
        <v>4.0999999999999996</v>
      </c>
      <c r="F43" s="120">
        <f t="shared" si="0"/>
        <v>-2.5</v>
      </c>
      <c r="G43" s="144">
        <f t="shared" si="1"/>
        <v>-2.4750000000000001</v>
      </c>
      <c r="H43" s="143">
        <f t="shared" si="2"/>
        <v>0.12499999999999992</v>
      </c>
      <c r="I43" s="122">
        <f t="shared" si="3"/>
        <v>6.6</v>
      </c>
      <c r="J43" s="127">
        <f t="shared" si="4"/>
        <v>6.5339999999999998</v>
      </c>
      <c r="K43" s="127">
        <f t="shared" si="5"/>
        <v>6.5999999999999837E-2</v>
      </c>
      <c r="L43" s="119"/>
      <c r="M43" s="140">
        <f t="shared" si="6"/>
        <v>-0.70199999999999996</v>
      </c>
      <c r="N43" s="140">
        <f t="shared" si="7"/>
        <v>0.30790623572769682</v>
      </c>
      <c r="O43" s="140">
        <f t="shared" si="8"/>
        <v>1.7730000000000001</v>
      </c>
      <c r="P43" s="143">
        <f t="shared" si="11"/>
        <v>0.27134986225895319</v>
      </c>
      <c r="Q43" s="143">
        <f t="shared" si="12"/>
        <v>0.11980396377665324</v>
      </c>
    </row>
    <row r="44" spans="2:17">
      <c r="B44" s="145">
        <v>9492.1</v>
      </c>
      <c r="C44" s="165" t="s">
        <v>202</v>
      </c>
      <c r="D44" s="146">
        <v>8.4</v>
      </c>
      <c r="E44" s="155">
        <v>4.4000000000000004</v>
      </c>
      <c r="F44" s="120">
        <f t="shared" si="0"/>
        <v>-4</v>
      </c>
      <c r="G44" s="144">
        <f t="shared" si="1"/>
        <v>-3.96</v>
      </c>
      <c r="H44" s="143">
        <f t="shared" si="2"/>
        <v>0.14000000000000004</v>
      </c>
      <c r="I44" s="122">
        <f t="shared" si="3"/>
        <v>8.4</v>
      </c>
      <c r="J44" s="127">
        <f t="shared" si="4"/>
        <v>8.3160000000000007</v>
      </c>
      <c r="K44" s="127">
        <f t="shared" si="5"/>
        <v>8.3999999999999631E-2</v>
      </c>
      <c r="L44" s="119"/>
      <c r="M44" s="140">
        <f t="shared" si="6"/>
        <v>-0.70199999999999996</v>
      </c>
      <c r="N44" s="140">
        <f t="shared" si="7"/>
        <v>0.30790623572769682</v>
      </c>
      <c r="O44" s="140">
        <f t="shared" si="8"/>
        <v>3.258</v>
      </c>
      <c r="P44" s="143">
        <f t="shared" si="11"/>
        <v>0.39177489177489172</v>
      </c>
      <c r="Q44" s="143">
        <f t="shared" si="12"/>
        <v>0.17239480793411513</v>
      </c>
    </row>
    <row r="45" spans="2:17">
      <c r="B45" s="145">
        <v>9492.1010000000006</v>
      </c>
      <c r="C45" s="165" t="s">
        <v>203</v>
      </c>
      <c r="D45" s="146">
        <v>9</v>
      </c>
      <c r="E45" s="155">
        <v>4.7</v>
      </c>
      <c r="F45" s="120">
        <f t="shared" si="0"/>
        <v>-4.3</v>
      </c>
      <c r="G45" s="144">
        <f t="shared" si="1"/>
        <v>-4.2569999999999997</v>
      </c>
      <c r="H45" s="143">
        <f t="shared" si="2"/>
        <v>0.14300000000000015</v>
      </c>
      <c r="I45" s="122">
        <f t="shared" si="3"/>
        <v>9</v>
      </c>
      <c r="J45" s="127">
        <f t="shared" si="4"/>
        <v>8.91</v>
      </c>
      <c r="K45" s="127">
        <f t="shared" si="5"/>
        <v>8.9999999999999858E-2</v>
      </c>
      <c r="L45" s="119"/>
      <c r="M45" s="140">
        <f t="shared" si="6"/>
        <v>-0.70199999999999996</v>
      </c>
      <c r="N45" s="140">
        <f t="shared" si="7"/>
        <v>0.30790623572769682</v>
      </c>
      <c r="O45" s="140">
        <f t="shared" si="8"/>
        <v>3.5549999999999997</v>
      </c>
      <c r="P45" s="143">
        <f t="shared" si="11"/>
        <v>0.39898989898989895</v>
      </c>
      <c r="Q45" s="143">
        <f t="shared" si="12"/>
        <v>0.17551458873761003</v>
      </c>
    </row>
    <row r="46" spans="2:17">
      <c r="B46" s="145">
        <v>9492.1020000000008</v>
      </c>
      <c r="C46" s="165" t="s">
        <v>204</v>
      </c>
      <c r="D46" s="146">
        <v>10.9</v>
      </c>
      <c r="E46" s="155">
        <v>5.3</v>
      </c>
      <c r="F46" s="120">
        <f t="shared" si="0"/>
        <v>-5.6000000000000005</v>
      </c>
      <c r="G46" s="144">
        <f t="shared" si="1"/>
        <v>-5.5440000000000005</v>
      </c>
      <c r="H46" s="143">
        <f t="shared" si="2"/>
        <v>0.15600000000000006</v>
      </c>
      <c r="I46" s="122">
        <f t="shared" si="3"/>
        <v>10.9</v>
      </c>
      <c r="J46" s="127">
        <f t="shared" si="4"/>
        <v>10.791</v>
      </c>
      <c r="K46" s="127">
        <f t="shared" si="5"/>
        <v>0.10899999999999999</v>
      </c>
      <c r="L46" s="119"/>
      <c r="M46" s="140">
        <f t="shared" si="6"/>
        <v>-0.70199999999999996</v>
      </c>
      <c r="N46" s="140">
        <f t="shared" si="7"/>
        <v>0.30790623572769682</v>
      </c>
      <c r="O46" s="140">
        <f t="shared" si="8"/>
        <v>4.8420000000000005</v>
      </c>
      <c r="P46" s="143">
        <f t="shared" si="11"/>
        <v>0.44870725604670564</v>
      </c>
      <c r="Q46" s="143">
        <f t="shared" si="12"/>
        <v>0.19721336163230599</v>
      </c>
    </row>
    <row r="47" spans="2:17">
      <c r="B47" s="137">
        <v>9492.1029999999992</v>
      </c>
      <c r="C47" s="165" t="s">
        <v>205</v>
      </c>
      <c r="D47" s="146">
        <v>4.0999999999999996</v>
      </c>
      <c r="E47" s="155">
        <v>2.9</v>
      </c>
      <c r="F47" s="120">
        <f t="shared" si="0"/>
        <v>-1.1999999999999997</v>
      </c>
      <c r="G47" s="144">
        <f t="shared" si="1"/>
        <v>-1.1879999999999997</v>
      </c>
      <c r="H47" s="143">
        <f t="shared" si="2"/>
        <v>0.11200000000000002</v>
      </c>
      <c r="I47" s="122">
        <f t="shared" si="3"/>
        <v>4.0999999999999996</v>
      </c>
      <c r="J47" s="127">
        <f t="shared" si="4"/>
        <v>4.0589999999999993</v>
      </c>
      <c r="K47" s="127">
        <f t="shared" si="5"/>
        <v>4.1000000000000369E-2</v>
      </c>
      <c r="L47" s="119"/>
      <c r="M47" s="140">
        <f t="shared" si="6"/>
        <v>-0.70199999999999996</v>
      </c>
      <c r="N47" s="140">
        <f t="shared" si="7"/>
        <v>0.30790623572769682</v>
      </c>
      <c r="O47" s="140">
        <f t="shared" si="8"/>
        <v>0.48599999999999977</v>
      </c>
      <c r="P47" s="143">
        <f t="shared" si="11"/>
        <v>0.11973392461197335</v>
      </c>
      <c r="Q47" s="143">
        <f t="shared" si="12"/>
        <v>5.371627810680922E-2</v>
      </c>
    </row>
    <row r="48" spans="2:17">
      <c r="B48" s="137">
        <v>9492.1039999999994</v>
      </c>
      <c r="C48" s="165" t="s">
        <v>206</v>
      </c>
      <c r="D48" s="146">
        <v>4.9000000000000004</v>
      </c>
      <c r="E48" s="155">
        <v>3.1</v>
      </c>
      <c r="F48" s="120">
        <f t="shared" si="0"/>
        <v>-1.8000000000000003</v>
      </c>
      <c r="G48" s="144">
        <f t="shared" si="1"/>
        <v>-1.7820000000000003</v>
      </c>
      <c r="H48" s="143">
        <f t="shared" si="2"/>
        <v>0.11800000000000002</v>
      </c>
      <c r="I48" s="122">
        <f t="shared" si="3"/>
        <v>4.9000000000000004</v>
      </c>
      <c r="J48" s="127">
        <f t="shared" si="4"/>
        <v>4.851</v>
      </c>
      <c r="K48" s="127">
        <f t="shared" si="5"/>
        <v>4.9000000000000377E-2</v>
      </c>
      <c r="L48" s="119"/>
      <c r="M48" s="140">
        <f t="shared" si="6"/>
        <v>-0.70199999999999996</v>
      </c>
      <c r="N48" s="140">
        <f t="shared" si="7"/>
        <v>0.30790623572769682</v>
      </c>
      <c r="O48" s="140">
        <f t="shared" si="8"/>
        <v>1.0800000000000003</v>
      </c>
      <c r="P48" s="143">
        <f t="shared" si="11"/>
        <v>0.22263450834879411</v>
      </c>
      <c r="Q48" s="143">
        <f t="shared" si="12"/>
        <v>9.8756923575878827E-2</v>
      </c>
    </row>
    <row r="49" spans="2:17">
      <c r="B49" s="137">
        <v>9492.1049999999996</v>
      </c>
      <c r="C49" s="165" t="s">
        <v>207</v>
      </c>
      <c r="D49" s="146">
        <v>4.5999999999999996</v>
      </c>
      <c r="E49" s="155">
        <v>3.2</v>
      </c>
      <c r="F49" s="120">
        <f t="shared" si="0"/>
        <v>-1.3999999999999995</v>
      </c>
      <c r="G49" s="144">
        <f t="shared" si="1"/>
        <v>-1.3859999999999995</v>
      </c>
      <c r="H49" s="143">
        <f t="shared" si="2"/>
        <v>0.11400000000000002</v>
      </c>
      <c r="I49" s="122">
        <f t="shared" si="3"/>
        <v>4.5999999999999996</v>
      </c>
      <c r="J49" s="127">
        <f t="shared" si="4"/>
        <v>4.5539999999999994</v>
      </c>
      <c r="K49" s="127">
        <f t="shared" si="5"/>
        <v>4.6000000000000263E-2</v>
      </c>
      <c r="L49" s="119"/>
      <c r="M49" s="140">
        <f t="shared" si="6"/>
        <v>-0.70199999999999996</v>
      </c>
      <c r="N49" s="140">
        <f t="shared" si="7"/>
        <v>0.30790623572769682</v>
      </c>
      <c r="O49" s="140">
        <f t="shared" si="8"/>
        <v>0.6839999999999995</v>
      </c>
      <c r="P49" s="143">
        <f t="shared" si="11"/>
        <v>0.15019762845849793</v>
      </c>
      <c r="Q49" s="143">
        <f t="shared" si="12"/>
        <v>6.7026941903611997E-2</v>
      </c>
    </row>
    <row r="50" spans="2:17">
      <c r="B50" s="137">
        <v>9492.1059999999998</v>
      </c>
      <c r="C50" s="165" t="s">
        <v>208</v>
      </c>
      <c r="D50" s="146">
        <v>4.4000000000000004</v>
      </c>
      <c r="E50" s="155">
        <v>3.2</v>
      </c>
      <c r="F50" s="120">
        <f t="shared" si="0"/>
        <v>-1.2000000000000002</v>
      </c>
      <c r="G50" s="144">
        <f t="shared" si="1"/>
        <v>-1.1880000000000002</v>
      </c>
      <c r="H50" s="143">
        <f t="shared" si="2"/>
        <v>0.11200000000000002</v>
      </c>
      <c r="I50" s="122">
        <f t="shared" si="3"/>
        <v>4.4000000000000004</v>
      </c>
      <c r="J50" s="127">
        <f t="shared" si="4"/>
        <v>4.3559999999999999</v>
      </c>
      <c r="K50" s="127">
        <f t="shared" si="5"/>
        <v>4.4000000000000483E-2</v>
      </c>
      <c r="L50" s="119"/>
      <c r="M50" s="140">
        <f t="shared" si="6"/>
        <v>-0.70199999999999996</v>
      </c>
      <c r="N50" s="140">
        <f t="shared" si="7"/>
        <v>0.30790623572769682</v>
      </c>
      <c r="O50" s="140">
        <f t="shared" si="8"/>
        <v>0.48600000000000021</v>
      </c>
      <c r="P50" s="143">
        <f t="shared" si="11"/>
        <v>0.11157024793388434</v>
      </c>
      <c r="Q50" s="143">
        <f t="shared" si="12"/>
        <v>5.005380459952681E-2</v>
      </c>
    </row>
    <row r="51" spans="2:17">
      <c r="B51" s="137">
        <v>9492.107</v>
      </c>
      <c r="C51" s="165" t="s">
        <v>209</v>
      </c>
      <c r="D51" s="146">
        <v>4.5</v>
      </c>
      <c r="E51" s="155">
        <v>3.1</v>
      </c>
      <c r="F51" s="120">
        <f t="shared" si="0"/>
        <v>-1.4</v>
      </c>
      <c r="G51" s="144">
        <f t="shared" si="1"/>
        <v>-1.3859999999999999</v>
      </c>
      <c r="H51" s="143">
        <f t="shared" si="2"/>
        <v>0.11400000000000002</v>
      </c>
      <c r="I51" s="122">
        <f t="shared" si="3"/>
        <v>4.5</v>
      </c>
      <c r="J51" s="127">
        <f t="shared" si="4"/>
        <v>4.4550000000000001</v>
      </c>
      <c r="K51" s="127">
        <f t="shared" si="5"/>
        <v>4.4999999999999929E-2</v>
      </c>
      <c r="L51" s="119"/>
      <c r="M51" s="140">
        <f t="shared" si="6"/>
        <v>-0.70199999999999996</v>
      </c>
      <c r="N51" s="140">
        <f t="shared" si="7"/>
        <v>0.30790623572769682</v>
      </c>
      <c r="O51" s="140">
        <f t="shared" si="8"/>
        <v>0.68399999999999994</v>
      </c>
      <c r="P51" s="143">
        <f t="shared" si="11"/>
        <v>0.15353535353535352</v>
      </c>
      <c r="Q51" s="143">
        <f t="shared" si="12"/>
        <v>6.8516429501470077E-2</v>
      </c>
    </row>
    <row r="52" spans="2:17">
      <c r="B52" s="137">
        <v>9492.1080000000002</v>
      </c>
      <c r="C52" s="165" t="s">
        <v>210</v>
      </c>
      <c r="D52" s="146">
        <v>5.5</v>
      </c>
      <c r="E52" s="155">
        <v>3</v>
      </c>
      <c r="F52" s="120">
        <f t="shared" si="0"/>
        <v>-2.5</v>
      </c>
      <c r="G52" s="144">
        <f t="shared" si="1"/>
        <v>-2.4750000000000001</v>
      </c>
      <c r="H52" s="143">
        <f t="shared" si="2"/>
        <v>0.12499999999999992</v>
      </c>
      <c r="I52" s="122">
        <f t="shared" si="3"/>
        <v>5.5</v>
      </c>
      <c r="J52" s="127">
        <f t="shared" si="4"/>
        <v>5.4450000000000003</v>
      </c>
      <c r="K52" s="127">
        <f t="shared" si="5"/>
        <v>5.4999999999999716E-2</v>
      </c>
      <c r="L52" s="119"/>
      <c r="M52" s="140">
        <f t="shared" si="6"/>
        <v>-0.70199999999999996</v>
      </c>
      <c r="N52" s="140">
        <f t="shared" si="7"/>
        <v>0.30790623572769682</v>
      </c>
      <c r="O52" s="140">
        <f t="shared" si="8"/>
        <v>1.7730000000000001</v>
      </c>
      <c r="P52" s="143">
        <f t="shared" si="11"/>
        <v>0.32561983471074379</v>
      </c>
      <c r="Q52" s="143">
        <f t="shared" si="12"/>
        <v>0.14376475653198387</v>
      </c>
    </row>
    <row r="53" spans="2:17">
      <c r="B53" s="145">
        <v>9492.1090000000004</v>
      </c>
      <c r="C53" s="165" t="s">
        <v>211</v>
      </c>
      <c r="D53" s="146">
        <v>4.4000000000000004</v>
      </c>
      <c r="E53" s="155">
        <v>3.2</v>
      </c>
      <c r="F53" s="120">
        <f t="shared" si="0"/>
        <v>-1.2000000000000002</v>
      </c>
      <c r="G53" s="144">
        <f t="shared" si="1"/>
        <v>-1.1880000000000002</v>
      </c>
      <c r="H53" s="143">
        <f t="shared" si="2"/>
        <v>0.11200000000000002</v>
      </c>
      <c r="I53" s="122">
        <f t="shared" si="3"/>
        <v>4.4000000000000004</v>
      </c>
      <c r="J53" s="127">
        <f t="shared" si="4"/>
        <v>4.3559999999999999</v>
      </c>
      <c r="K53" s="127">
        <f t="shared" si="5"/>
        <v>4.4000000000000483E-2</v>
      </c>
      <c r="L53" s="119"/>
      <c r="M53" s="140">
        <f t="shared" si="6"/>
        <v>-0.70199999999999996</v>
      </c>
      <c r="N53" s="140">
        <f t="shared" si="7"/>
        <v>0.30790623572769682</v>
      </c>
      <c r="O53" s="140">
        <f t="shared" si="8"/>
        <v>0.48600000000000021</v>
      </c>
      <c r="P53" s="143">
        <f t="shared" si="11"/>
        <v>0.11157024793388434</v>
      </c>
      <c r="Q53" s="143">
        <f t="shared" si="12"/>
        <v>5.005380459952681E-2</v>
      </c>
    </row>
    <row r="54" spans="2:17">
      <c r="B54" s="145">
        <v>9492.11</v>
      </c>
      <c r="C54" s="165" t="s">
        <v>212</v>
      </c>
      <c r="D54" s="146">
        <v>5</v>
      </c>
      <c r="E54" s="155">
        <v>3.3</v>
      </c>
      <c r="F54" s="120">
        <f t="shared" si="0"/>
        <v>-1.7000000000000002</v>
      </c>
      <c r="G54" s="144">
        <f t="shared" si="1"/>
        <v>-1.6830000000000001</v>
      </c>
      <c r="H54" s="143">
        <f t="shared" si="2"/>
        <v>0.11700000000000013</v>
      </c>
      <c r="I54" s="122">
        <f t="shared" si="3"/>
        <v>5</v>
      </c>
      <c r="J54" s="127">
        <f t="shared" si="4"/>
        <v>4.95</v>
      </c>
      <c r="K54" s="127">
        <f t="shared" si="5"/>
        <v>4.9999999999999822E-2</v>
      </c>
      <c r="L54" s="119"/>
      <c r="M54" s="140">
        <f t="shared" si="6"/>
        <v>-0.70199999999999996</v>
      </c>
      <c r="N54" s="140">
        <f t="shared" si="7"/>
        <v>0.30790623572769682</v>
      </c>
      <c r="O54" s="140">
        <f t="shared" si="8"/>
        <v>0.98100000000000009</v>
      </c>
      <c r="P54" s="143">
        <f t="shared" si="11"/>
        <v>0.19818181818181818</v>
      </c>
      <c r="Q54" s="143">
        <f t="shared" si="12"/>
        <v>8.8010156378113144E-2</v>
      </c>
    </row>
    <row r="55" spans="2:17">
      <c r="B55" s="145">
        <v>9492.1110000000008</v>
      </c>
      <c r="C55" s="165" t="s">
        <v>213</v>
      </c>
      <c r="D55" s="146">
        <v>5</v>
      </c>
      <c r="E55" s="155">
        <v>3.4</v>
      </c>
      <c r="F55" s="120">
        <f t="shared" si="0"/>
        <v>-1.6</v>
      </c>
      <c r="G55" s="144">
        <f t="shared" si="1"/>
        <v>-1.5840000000000001</v>
      </c>
      <c r="H55" s="143">
        <f t="shared" si="2"/>
        <v>0.11600000000000002</v>
      </c>
      <c r="I55" s="122">
        <f t="shared" si="3"/>
        <v>5</v>
      </c>
      <c r="J55" s="127">
        <f t="shared" si="4"/>
        <v>4.95</v>
      </c>
      <c r="K55" s="127">
        <f t="shared" si="5"/>
        <v>4.9999999999999822E-2</v>
      </c>
      <c r="L55" s="119"/>
      <c r="M55" s="140">
        <f t="shared" si="6"/>
        <v>-0.70199999999999996</v>
      </c>
      <c r="N55" s="140">
        <f t="shared" si="7"/>
        <v>0.30790623572769682</v>
      </c>
      <c r="O55" s="140">
        <f t="shared" si="8"/>
        <v>0.88200000000000012</v>
      </c>
      <c r="P55" s="143">
        <f t="shared" si="11"/>
        <v>0.17818181818181819</v>
      </c>
      <c r="Q55" s="143">
        <f t="shared" si="12"/>
        <v>7.9234676617347413E-2</v>
      </c>
    </row>
    <row r="56" spans="2:17">
      <c r="B56" s="145">
        <v>9492.1119999999992</v>
      </c>
      <c r="C56" s="165" t="s">
        <v>214</v>
      </c>
      <c r="D56" s="146">
        <v>5.3</v>
      </c>
      <c r="E56" s="155">
        <v>3.5</v>
      </c>
      <c r="F56" s="120">
        <f t="shared" si="0"/>
        <v>-1.7999999999999998</v>
      </c>
      <c r="G56" s="144">
        <f t="shared" si="1"/>
        <v>-1.7819999999999998</v>
      </c>
      <c r="H56" s="143">
        <f t="shared" si="2"/>
        <v>0.11800000000000002</v>
      </c>
      <c r="I56" s="122">
        <f t="shared" si="3"/>
        <v>5.3</v>
      </c>
      <c r="J56" s="127">
        <f t="shared" si="4"/>
        <v>5.2469999999999999</v>
      </c>
      <c r="K56" s="127">
        <f t="shared" si="5"/>
        <v>5.2999999999999936E-2</v>
      </c>
      <c r="L56" s="119"/>
      <c r="M56" s="140">
        <f t="shared" si="6"/>
        <v>-0.70199999999999996</v>
      </c>
      <c r="N56" s="140">
        <f t="shared" si="7"/>
        <v>0.30790623572769682</v>
      </c>
      <c r="O56" s="140">
        <f t="shared" si="8"/>
        <v>1.0799999999999998</v>
      </c>
      <c r="P56" s="143">
        <f t="shared" si="11"/>
        <v>0.20583190394511147</v>
      </c>
      <c r="Q56" s="143">
        <f t="shared" si="12"/>
        <v>9.1303570853170965E-2</v>
      </c>
    </row>
    <row r="57" spans="2:17">
      <c r="B57" s="145">
        <v>9492.1129999999994</v>
      </c>
      <c r="C57" s="165" t="s">
        <v>215</v>
      </c>
      <c r="D57" s="146">
        <v>6.8</v>
      </c>
      <c r="E57" s="155">
        <v>3.6</v>
      </c>
      <c r="F57" s="120">
        <f t="shared" si="0"/>
        <v>-3.1999999999999997</v>
      </c>
      <c r="G57" s="144">
        <f t="shared" si="1"/>
        <v>-3.1679999999999997</v>
      </c>
      <c r="H57" s="143">
        <f t="shared" si="2"/>
        <v>0.13200000000000003</v>
      </c>
      <c r="I57" s="122">
        <f t="shared" si="3"/>
        <v>6.8</v>
      </c>
      <c r="J57" s="127">
        <f t="shared" si="4"/>
        <v>6.7320000000000002</v>
      </c>
      <c r="K57" s="127">
        <f t="shared" si="5"/>
        <v>6.7999999999999616E-2</v>
      </c>
      <c r="L57" s="119"/>
      <c r="M57" s="140">
        <f t="shared" si="6"/>
        <v>-0.70199999999999996</v>
      </c>
      <c r="N57" s="140">
        <f t="shared" si="7"/>
        <v>0.30790623572769682</v>
      </c>
      <c r="O57" s="140">
        <f t="shared" si="8"/>
        <v>2.4659999999999997</v>
      </c>
      <c r="P57" s="143">
        <f t="shared" si="11"/>
        <v>0.36631016042780745</v>
      </c>
      <c r="Q57" s="143">
        <f t="shared" si="12"/>
        <v>0.16139168484071353</v>
      </c>
    </row>
    <row r="58" spans="2:17">
      <c r="B58" s="137">
        <v>9492.1139999999996</v>
      </c>
      <c r="C58" s="165" t="s">
        <v>216</v>
      </c>
      <c r="D58" s="146">
        <v>4.4000000000000004</v>
      </c>
      <c r="E58" s="155">
        <v>3.2</v>
      </c>
      <c r="F58" s="120">
        <f t="shared" si="0"/>
        <v>-1.2000000000000002</v>
      </c>
      <c r="G58" s="144">
        <f t="shared" si="1"/>
        <v>-1.1880000000000002</v>
      </c>
      <c r="H58" s="143">
        <f t="shared" si="2"/>
        <v>0.11200000000000002</v>
      </c>
      <c r="I58" s="122">
        <f t="shared" si="3"/>
        <v>4.4000000000000004</v>
      </c>
      <c r="J58" s="127">
        <f t="shared" si="4"/>
        <v>4.3559999999999999</v>
      </c>
      <c r="K58" s="127">
        <f t="shared" si="5"/>
        <v>4.4000000000000483E-2</v>
      </c>
      <c r="L58" s="119"/>
      <c r="M58" s="140">
        <f t="shared" si="6"/>
        <v>-0.70199999999999996</v>
      </c>
      <c r="N58" s="140">
        <f t="shared" si="7"/>
        <v>0.30790623572769682</v>
      </c>
      <c r="O58" s="140">
        <f t="shared" si="8"/>
        <v>0.48600000000000021</v>
      </c>
      <c r="P58" s="143">
        <f t="shared" si="11"/>
        <v>0.11157024793388434</v>
      </c>
      <c r="Q58" s="143">
        <f t="shared" si="12"/>
        <v>5.005380459952681E-2</v>
      </c>
    </row>
    <row r="59" spans="2:17">
      <c r="B59" s="137">
        <v>9492.1149999999998</v>
      </c>
      <c r="C59" s="165" t="s">
        <v>217</v>
      </c>
      <c r="D59" s="146">
        <v>4.7</v>
      </c>
      <c r="E59" s="155">
        <v>3.3</v>
      </c>
      <c r="F59" s="120">
        <f t="shared" si="0"/>
        <v>-1.4000000000000004</v>
      </c>
      <c r="G59" s="144">
        <f t="shared" si="1"/>
        <v>-1.3860000000000003</v>
      </c>
      <c r="H59" s="143">
        <f t="shared" si="2"/>
        <v>0.11400000000000002</v>
      </c>
      <c r="I59" s="122">
        <f t="shared" si="3"/>
        <v>4.7</v>
      </c>
      <c r="J59" s="127">
        <f t="shared" si="4"/>
        <v>4.6530000000000005</v>
      </c>
      <c r="K59" s="127">
        <f t="shared" si="5"/>
        <v>4.6999999999999709E-2</v>
      </c>
      <c r="L59" s="119"/>
      <c r="M59" s="140">
        <f t="shared" si="6"/>
        <v>-0.70199999999999996</v>
      </c>
      <c r="N59" s="140">
        <f t="shared" si="7"/>
        <v>0.30790623572769682</v>
      </c>
      <c r="O59" s="140">
        <f t="shared" si="8"/>
        <v>0.68400000000000039</v>
      </c>
      <c r="P59" s="143">
        <f t="shared" si="11"/>
        <v>0.14700193423597685</v>
      </c>
      <c r="Q59" s="143">
        <f t="shared" si="12"/>
        <v>6.5600836756726691E-2</v>
      </c>
    </row>
    <row r="60" spans="2:17">
      <c r="B60" s="137">
        <v>9492.116</v>
      </c>
      <c r="C60" s="165" t="s">
        <v>218</v>
      </c>
      <c r="D60" s="146">
        <v>6.7</v>
      </c>
      <c r="E60" s="155">
        <v>3.4</v>
      </c>
      <c r="F60" s="120">
        <f t="shared" si="0"/>
        <v>-3.3000000000000003</v>
      </c>
      <c r="G60" s="144">
        <f t="shared" si="1"/>
        <v>-3.2670000000000003</v>
      </c>
      <c r="H60" s="143">
        <f t="shared" si="2"/>
        <v>0.13299999999999992</v>
      </c>
      <c r="I60" s="122">
        <f t="shared" si="3"/>
        <v>6.7</v>
      </c>
      <c r="J60" s="127">
        <f t="shared" si="4"/>
        <v>6.633</v>
      </c>
      <c r="K60" s="127">
        <f t="shared" si="5"/>
        <v>6.7000000000000171E-2</v>
      </c>
      <c r="L60" s="119"/>
      <c r="M60" s="140">
        <f t="shared" si="6"/>
        <v>-0.70199999999999996</v>
      </c>
      <c r="N60" s="140">
        <f t="shared" si="7"/>
        <v>0.30790623572769682</v>
      </c>
      <c r="O60" s="140">
        <f t="shared" si="8"/>
        <v>2.5650000000000004</v>
      </c>
      <c r="P60" s="143">
        <f t="shared" si="11"/>
        <v>0.38670284938941663</v>
      </c>
      <c r="Q60" s="143">
        <f t="shared" si="12"/>
        <v>0.17034186588934108</v>
      </c>
    </row>
    <row r="61" spans="2:17">
      <c r="B61" s="137">
        <v>9492.1170000000002</v>
      </c>
      <c r="C61" s="165" t="s">
        <v>219</v>
      </c>
      <c r="D61" s="146">
        <v>5.6</v>
      </c>
      <c r="E61" s="155">
        <v>3.5</v>
      </c>
      <c r="F61" s="120">
        <f t="shared" si="0"/>
        <v>-2.0999999999999996</v>
      </c>
      <c r="G61" s="144">
        <f t="shared" si="1"/>
        <v>-2.0789999999999997</v>
      </c>
      <c r="H61" s="143">
        <f t="shared" si="2"/>
        <v>0.12099999999999991</v>
      </c>
      <c r="I61" s="122">
        <f t="shared" si="3"/>
        <v>5.6</v>
      </c>
      <c r="J61" s="127">
        <f t="shared" si="4"/>
        <v>5.5439999999999996</v>
      </c>
      <c r="K61" s="127">
        <f t="shared" si="5"/>
        <v>5.600000000000005E-2</v>
      </c>
      <c r="L61" s="119"/>
      <c r="M61" s="140">
        <f t="shared" si="6"/>
        <v>-0.70199999999999996</v>
      </c>
      <c r="N61" s="140">
        <f t="shared" si="7"/>
        <v>0.30790623572769682</v>
      </c>
      <c r="O61" s="140">
        <f t="shared" si="8"/>
        <v>1.3769999999999998</v>
      </c>
      <c r="P61" s="143">
        <f t="shared" si="11"/>
        <v>0.24837662337662336</v>
      </c>
      <c r="Q61" s="143">
        <f t="shared" si="12"/>
        <v>0.1098960927739229</v>
      </c>
    </row>
    <row r="62" spans="2:17">
      <c r="B62" s="137">
        <v>9492.1180000000004</v>
      </c>
      <c r="C62" s="165" t="s">
        <v>220</v>
      </c>
      <c r="D62" s="146">
        <v>5.0999999999999996</v>
      </c>
      <c r="E62" s="155">
        <v>3.5</v>
      </c>
      <c r="F62" s="120">
        <f t="shared" si="0"/>
        <v>-1.5999999999999996</v>
      </c>
      <c r="G62" s="144">
        <f t="shared" si="1"/>
        <v>-1.5839999999999996</v>
      </c>
      <c r="H62" s="143">
        <f t="shared" si="2"/>
        <v>0.11600000000000002</v>
      </c>
      <c r="I62" s="122">
        <f t="shared" si="3"/>
        <v>5.0999999999999996</v>
      </c>
      <c r="J62" s="127">
        <f t="shared" si="4"/>
        <v>5.0489999999999995</v>
      </c>
      <c r="K62" s="127">
        <f t="shared" si="5"/>
        <v>5.1000000000000156E-2</v>
      </c>
      <c r="L62" s="119"/>
      <c r="M62" s="140">
        <f t="shared" si="6"/>
        <v>-0.70199999999999996</v>
      </c>
      <c r="N62" s="140">
        <f t="shared" si="7"/>
        <v>0.30790623572769682</v>
      </c>
      <c r="O62" s="140">
        <f t="shared" si="8"/>
        <v>0.88199999999999967</v>
      </c>
      <c r="P62" s="143">
        <f t="shared" si="11"/>
        <v>0.17468805704099816</v>
      </c>
      <c r="Q62" s="143">
        <f t="shared" si="12"/>
        <v>7.768105550720332E-2</v>
      </c>
    </row>
    <row r="63" spans="2:17">
      <c r="B63" s="137">
        <v>9492.1190000000006</v>
      </c>
      <c r="C63" s="165" t="s">
        <v>221</v>
      </c>
      <c r="D63" s="146">
        <v>5.0999999999999996</v>
      </c>
      <c r="E63" s="155">
        <v>3.6</v>
      </c>
      <c r="F63" s="120">
        <f t="shared" si="0"/>
        <v>-1.4999999999999996</v>
      </c>
      <c r="G63" s="144">
        <f t="shared" si="1"/>
        <v>-1.4849999999999997</v>
      </c>
      <c r="H63" s="143">
        <f t="shared" si="2"/>
        <v>0.11499999999999991</v>
      </c>
      <c r="I63" s="122">
        <f t="shared" si="3"/>
        <v>5.0999999999999996</v>
      </c>
      <c r="J63" s="127">
        <f t="shared" si="4"/>
        <v>5.0489999999999995</v>
      </c>
      <c r="K63" s="127">
        <f t="shared" si="5"/>
        <v>5.1000000000000156E-2</v>
      </c>
      <c r="L63" s="119"/>
      <c r="M63" s="140">
        <f t="shared" si="6"/>
        <v>-0.70199999999999996</v>
      </c>
      <c r="N63" s="140">
        <f t="shared" si="7"/>
        <v>0.30790623572769682</v>
      </c>
      <c r="O63" s="140">
        <f t="shared" si="8"/>
        <v>0.7829999999999997</v>
      </c>
      <c r="P63" s="143">
        <f t="shared" si="11"/>
        <v>0.15508021390374327</v>
      </c>
      <c r="Q63" s="143">
        <f t="shared" si="12"/>
        <v>6.9072241807819901E-2</v>
      </c>
    </row>
    <row r="64" spans="2:17">
      <c r="B64" s="137">
        <v>9492.1200000000008</v>
      </c>
      <c r="C64" s="165" t="s">
        <v>222</v>
      </c>
      <c r="D64" s="146">
        <v>5.8</v>
      </c>
      <c r="E64" s="155">
        <v>3.8</v>
      </c>
      <c r="F64" s="120">
        <f t="shared" si="0"/>
        <v>-2</v>
      </c>
      <c r="G64" s="144">
        <f t="shared" si="1"/>
        <v>-1.98</v>
      </c>
      <c r="H64" s="143">
        <f t="shared" si="2"/>
        <v>0.12000000000000002</v>
      </c>
      <c r="I64" s="122">
        <f t="shared" si="3"/>
        <v>5.8</v>
      </c>
      <c r="J64" s="127">
        <f t="shared" si="4"/>
        <v>5.742</v>
      </c>
      <c r="K64" s="127">
        <f t="shared" si="5"/>
        <v>5.7999999999999829E-2</v>
      </c>
      <c r="L64" s="119"/>
      <c r="M64" s="140">
        <f t="shared" si="6"/>
        <v>-0.70199999999999996</v>
      </c>
      <c r="N64" s="140">
        <f t="shared" si="7"/>
        <v>0.30790623572769682</v>
      </c>
      <c r="O64" s="140">
        <f t="shared" si="8"/>
        <v>1.278</v>
      </c>
      <c r="P64" s="143">
        <f t="shared" si="11"/>
        <v>0.2225705329153605</v>
      </c>
      <c r="Q64" s="143">
        <f t="shared" si="12"/>
        <v>9.8549835140238268E-2</v>
      </c>
    </row>
    <row r="65" spans="2:17">
      <c r="B65" s="137">
        <v>9492.1209999999992</v>
      </c>
      <c r="C65" s="165" t="s">
        <v>224</v>
      </c>
      <c r="D65" s="146">
        <v>5.9</v>
      </c>
      <c r="E65" s="155">
        <v>3.8</v>
      </c>
      <c r="F65" s="120">
        <f t="shared" si="0"/>
        <v>-2.1000000000000005</v>
      </c>
      <c r="G65" s="144">
        <f t="shared" si="1"/>
        <v>-2.0790000000000006</v>
      </c>
      <c r="H65" s="143">
        <f t="shared" si="2"/>
        <v>0.12099999999999991</v>
      </c>
      <c r="I65" s="122">
        <f t="shared" si="3"/>
        <v>5.9</v>
      </c>
      <c r="J65" s="127">
        <f t="shared" si="4"/>
        <v>5.8410000000000002</v>
      </c>
      <c r="K65" s="127">
        <f t="shared" si="5"/>
        <v>5.9000000000000163E-2</v>
      </c>
      <c r="L65" s="119"/>
      <c r="M65" s="140">
        <f t="shared" si="6"/>
        <v>-0.70199999999999996</v>
      </c>
      <c r="N65" s="140">
        <f t="shared" si="7"/>
        <v>0.30790623572769682</v>
      </c>
      <c r="O65" s="140">
        <f t="shared" si="8"/>
        <v>1.3770000000000007</v>
      </c>
      <c r="P65" s="143">
        <f t="shared" si="11"/>
        <v>0.23574730354391382</v>
      </c>
      <c r="Q65" s="143">
        <f t="shared" si="12"/>
        <v>0.10430815585321501</v>
      </c>
    </row>
    <row r="66" spans="2:17">
      <c r="B66" s="137">
        <v>9492.1219999999994</v>
      </c>
      <c r="C66" s="165" t="s">
        <v>223</v>
      </c>
      <c r="D66" s="146">
        <v>5.2</v>
      </c>
      <c r="E66" s="155">
        <v>3.8</v>
      </c>
      <c r="F66" s="120">
        <f t="shared" si="0"/>
        <v>-1.4000000000000004</v>
      </c>
      <c r="G66" s="144">
        <f t="shared" si="1"/>
        <v>-1.3860000000000003</v>
      </c>
      <c r="H66" s="143">
        <f t="shared" si="2"/>
        <v>0.11400000000000002</v>
      </c>
      <c r="I66" s="122">
        <f t="shared" si="3"/>
        <v>5.2</v>
      </c>
      <c r="J66" s="127">
        <f t="shared" si="4"/>
        <v>5.1479999999999997</v>
      </c>
      <c r="K66" s="127">
        <f t="shared" si="5"/>
        <v>5.200000000000049E-2</v>
      </c>
      <c r="L66" s="119"/>
      <c r="M66" s="140">
        <f t="shared" si="6"/>
        <v>-0.70199999999999996</v>
      </c>
      <c r="N66" s="140">
        <f t="shared" si="7"/>
        <v>0.30790623572769682</v>
      </c>
      <c r="O66" s="140">
        <f t="shared" si="8"/>
        <v>0.68400000000000039</v>
      </c>
      <c r="P66" s="143">
        <f t="shared" si="11"/>
        <v>0.13286713286713295</v>
      </c>
      <c r="Q66" s="143">
        <f t="shared" si="12"/>
        <v>5.9293063991656826E-2</v>
      </c>
    </row>
    <row r="67" spans="2:17">
      <c r="B67" s="145">
        <v>9492.125</v>
      </c>
      <c r="C67" s="165" t="s">
        <v>225</v>
      </c>
      <c r="D67" s="146">
        <v>5.5</v>
      </c>
      <c r="E67" s="155">
        <v>3.5</v>
      </c>
      <c r="F67" s="120">
        <f t="shared" si="0"/>
        <v>-2</v>
      </c>
      <c r="G67" s="144">
        <f t="shared" si="1"/>
        <v>-1.98</v>
      </c>
      <c r="H67" s="143">
        <f t="shared" si="2"/>
        <v>0.12000000000000002</v>
      </c>
      <c r="I67" s="122">
        <f t="shared" si="3"/>
        <v>5.5</v>
      </c>
      <c r="J67" s="127">
        <f t="shared" si="4"/>
        <v>5.4450000000000003</v>
      </c>
      <c r="K67" s="127">
        <f t="shared" si="5"/>
        <v>5.4999999999999716E-2</v>
      </c>
      <c r="L67" s="119"/>
      <c r="M67" s="140">
        <f t="shared" si="6"/>
        <v>-0.70199999999999996</v>
      </c>
      <c r="N67" s="140">
        <f t="shared" si="7"/>
        <v>0.30790623572769682</v>
      </c>
      <c r="O67" s="140">
        <f t="shared" si="8"/>
        <v>1.278</v>
      </c>
      <c r="P67" s="143">
        <f t="shared" si="11"/>
        <v>0.23471074380165288</v>
      </c>
      <c r="Q67" s="143">
        <f t="shared" si="12"/>
        <v>0.10392528069334217</v>
      </c>
    </row>
    <row r="68" spans="2:17">
      <c r="B68" s="145">
        <v>9492.1260000000002</v>
      </c>
      <c r="C68" s="165" t="s">
        <v>226</v>
      </c>
      <c r="D68" s="146">
        <v>5.0999999999999996</v>
      </c>
      <c r="E68" s="155">
        <v>3.3</v>
      </c>
      <c r="F68" s="120">
        <f t="shared" ref="F68:F105" si="13">E68-D68</f>
        <v>-1.7999999999999998</v>
      </c>
      <c r="G68" s="144">
        <f t="shared" ref="G68:G105" si="14">F68*0.99</f>
        <v>-1.7819999999999998</v>
      </c>
      <c r="H68" s="143">
        <f t="shared" ref="H68:H105" si="15">$C$113+(G68-F68)</f>
        <v>0.11800000000000002</v>
      </c>
      <c r="I68" s="122">
        <f t="shared" ref="I68:I105" si="16">D68</f>
        <v>5.0999999999999996</v>
      </c>
      <c r="J68" s="127">
        <f t="shared" ref="J68:J105" si="17">I68*0.99</f>
        <v>5.0489999999999995</v>
      </c>
      <c r="K68" s="127">
        <f t="shared" ref="K68:K105" si="18">I68-J68</f>
        <v>5.1000000000000156E-2</v>
      </c>
      <c r="L68" s="119"/>
      <c r="M68" s="140">
        <f t="shared" ref="M68:M105" si="19">$C$116-$C$119</f>
        <v>-0.70199999999999996</v>
      </c>
      <c r="N68" s="140">
        <f t="shared" ref="N68:N105" si="20">SQRT(($C$117^2)+($C$120^2))</f>
        <v>0.30790623572769682</v>
      </c>
      <c r="O68" s="140">
        <f t="shared" ref="O68:O105" si="21">M68-G68</f>
        <v>1.0799999999999998</v>
      </c>
      <c r="P68" s="143">
        <f t="shared" si="11"/>
        <v>0.21390374331550802</v>
      </c>
      <c r="Q68" s="143">
        <f t="shared" si="12"/>
        <v>9.4884103043491388E-2</v>
      </c>
    </row>
    <row r="69" spans="2:17">
      <c r="B69" s="137">
        <v>9492.1270000000004</v>
      </c>
      <c r="C69" s="165" t="s">
        <v>227</v>
      </c>
      <c r="D69" s="146">
        <v>4.3</v>
      </c>
      <c r="E69" s="155">
        <v>3.1</v>
      </c>
      <c r="F69" s="120">
        <f t="shared" si="13"/>
        <v>-1.1999999999999997</v>
      </c>
      <c r="G69" s="144">
        <f t="shared" si="14"/>
        <v>-1.1879999999999997</v>
      </c>
      <c r="H69" s="143">
        <f t="shared" si="15"/>
        <v>0.11200000000000002</v>
      </c>
      <c r="I69" s="122">
        <f t="shared" si="16"/>
        <v>4.3</v>
      </c>
      <c r="J69" s="127">
        <f t="shared" si="17"/>
        <v>4.2569999999999997</v>
      </c>
      <c r="K69" s="127">
        <f t="shared" si="18"/>
        <v>4.3000000000000149E-2</v>
      </c>
      <c r="L69" s="119"/>
      <c r="M69" s="140">
        <f t="shared" si="19"/>
        <v>-0.70199999999999996</v>
      </c>
      <c r="N69" s="140">
        <f t="shared" si="20"/>
        <v>0.30790623572769682</v>
      </c>
      <c r="O69" s="140">
        <f t="shared" si="21"/>
        <v>0.48599999999999977</v>
      </c>
      <c r="P69" s="143">
        <f t="shared" si="11"/>
        <v>0.11416490486257924</v>
      </c>
      <c r="Q69" s="143">
        <f t="shared" si="12"/>
        <v>5.1217846566957631E-2</v>
      </c>
    </row>
    <row r="70" spans="2:17">
      <c r="B70" s="137">
        <v>9492.1280000000006</v>
      </c>
      <c r="C70" s="165" t="s">
        <v>228</v>
      </c>
      <c r="D70" s="146">
        <v>4.7</v>
      </c>
      <c r="E70" s="155">
        <v>3.1</v>
      </c>
      <c r="F70" s="120">
        <f t="shared" si="13"/>
        <v>-1.6</v>
      </c>
      <c r="G70" s="144">
        <f t="shared" si="14"/>
        <v>-1.5840000000000001</v>
      </c>
      <c r="H70" s="143">
        <f t="shared" si="15"/>
        <v>0.11600000000000002</v>
      </c>
      <c r="I70" s="122">
        <f t="shared" si="16"/>
        <v>4.7</v>
      </c>
      <c r="J70" s="127">
        <f t="shared" si="17"/>
        <v>4.6530000000000005</v>
      </c>
      <c r="K70" s="127">
        <f t="shared" si="18"/>
        <v>4.6999999999999709E-2</v>
      </c>
      <c r="L70" s="119"/>
      <c r="M70" s="140">
        <f t="shared" si="19"/>
        <v>-0.70199999999999996</v>
      </c>
      <c r="N70" s="140">
        <f t="shared" si="20"/>
        <v>0.30790623572769682</v>
      </c>
      <c r="O70" s="140">
        <f t="shared" si="21"/>
        <v>0.88200000000000012</v>
      </c>
      <c r="P70" s="143">
        <f t="shared" ref="P70:P105" si="22">O70/J70</f>
        <v>0.1895551257253385</v>
      </c>
      <c r="Q70" s="143">
        <f t="shared" ref="Q70:Q105" si="23">P70*(SQRT(((H70/G70)^2)+((N70/M70)^2)))</f>
        <v>8.4292209167390872E-2</v>
      </c>
    </row>
    <row r="71" spans="2:17">
      <c r="B71" s="137">
        <v>9492.1290000000008</v>
      </c>
      <c r="C71" s="165" t="s">
        <v>229</v>
      </c>
      <c r="D71" s="146">
        <v>5.0999999999999996</v>
      </c>
      <c r="E71" s="155">
        <v>3.2</v>
      </c>
      <c r="F71" s="120">
        <f t="shared" si="13"/>
        <v>-1.8999999999999995</v>
      </c>
      <c r="G71" s="144">
        <f t="shared" si="14"/>
        <v>-1.8809999999999996</v>
      </c>
      <c r="H71" s="143">
        <f t="shared" si="15"/>
        <v>0.11899999999999991</v>
      </c>
      <c r="I71" s="122">
        <f t="shared" si="16"/>
        <v>5.0999999999999996</v>
      </c>
      <c r="J71" s="127">
        <f t="shared" si="17"/>
        <v>5.0489999999999995</v>
      </c>
      <c r="K71" s="127">
        <f t="shared" si="18"/>
        <v>5.1000000000000156E-2</v>
      </c>
      <c r="L71" s="119"/>
      <c r="M71" s="140">
        <f t="shared" si="19"/>
        <v>-0.70199999999999996</v>
      </c>
      <c r="N71" s="140">
        <f t="shared" si="20"/>
        <v>0.30790623572769682</v>
      </c>
      <c r="O71" s="140">
        <f t="shared" si="21"/>
        <v>1.1789999999999996</v>
      </c>
      <c r="P71" s="143">
        <f t="shared" si="22"/>
        <v>0.23351158645276288</v>
      </c>
      <c r="Q71" s="143">
        <f t="shared" si="23"/>
        <v>0.10348110483391194</v>
      </c>
    </row>
    <row r="72" spans="2:17">
      <c r="B72" s="137">
        <v>9492.1299999999992</v>
      </c>
      <c r="C72" s="165" t="s">
        <v>230</v>
      </c>
      <c r="D72" s="146">
        <v>4.4000000000000004</v>
      </c>
      <c r="E72" s="155">
        <v>2.9</v>
      </c>
      <c r="F72" s="120">
        <f t="shared" si="13"/>
        <v>-1.5000000000000004</v>
      </c>
      <c r="G72" s="144">
        <f t="shared" si="14"/>
        <v>-1.4850000000000003</v>
      </c>
      <c r="H72" s="143">
        <f t="shared" si="15"/>
        <v>0.11500000000000013</v>
      </c>
      <c r="I72" s="122">
        <f t="shared" si="16"/>
        <v>4.4000000000000004</v>
      </c>
      <c r="J72" s="127">
        <f t="shared" si="17"/>
        <v>4.3559999999999999</v>
      </c>
      <c r="K72" s="127">
        <f t="shared" si="18"/>
        <v>4.4000000000000483E-2</v>
      </c>
      <c r="L72" s="119"/>
      <c r="M72" s="140">
        <f t="shared" si="19"/>
        <v>-0.70199999999999996</v>
      </c>
      <c r="N72" s="140">
        <f t="shared" si="20"/>
        <v>0.30790623572769682</v>
      </c>
      <c r="O72" s="140">
        <f t="shared" si="21"/>
        <v>0.78300000000000036</v>
      </c>
      <c r="P72" s="143">
        <f t="shared" si="22"/>
        <v>0.17975206611570257</v>
      </c>
      <c r="Q72" s="143">
        <f t="shared" si="23"/>
        <v>8.006100754997314E-2</v>
      </c>
    </row>
    <row r="73" spans="2:17">
      <c r="B73" s="137">
        <v>9492.1309999999994</v>
      </c>
      <c r="C73" s="165" t="s">
        <v>231</v>
      </c>
      <c r="D73" s="146">
        <v>4.5</v>
      </c>
      <c r="E73" s="155">
        <v>3.3</v>
      </c>
      <c r="F73" s="120">
        <f t="shared" si="13"/>
        <v>-1.2000000000000002</v>
      </c>
      <c r="G73" s="144">
        <f t="shared" si="14"/>
        <v>-1.1880000000000002</v>
      </c>
      <c r="H73" s="143">
        <f t="shared" si="15"/>
        <v>0.11200000000000002</v>
      </c>
      <c r="I73" s="122">
        <f t="shared" si="16"/>
        <v>4.5</v>
      </c>
      <c r="J73" s="127">
        <f t="shared" si="17"/>
        <v>4.4550000000000001</v>
      </c>
      <c r="K73" s="127">
        <f t="shared" si="18"/>
        <v>4.4999999999999929E-2</v>
      </c>
      <c r="L73" s="119"/>
      <c r="M73" s="140">
        <f t="shared" si="19"/>
        <v>-0.70199999999999996</v>
      </c>
      <c r="N73" s="140">
        <f t="shared" si="20"/>
        <v>0.30790623572769682</v>
      </c>
      <c r="O73" s="140">
        <f t="shared" si="21"/>
        <v>0.48600000000000021</v>
      </c>
      <c r="P73" s="143">
        <f t="shared" si="22"/>
        <v>0.10909090909090914</v>
      </c>
      <c r="Q73" s="143">
        <f t="shared" si="23"/>
        <v>4.8941497830648439E-2</v>
      </c>
    </row>
    <row r="74" spans="2:17">
      <c r="B74" s="137">
        <v>9492.1319999999996</v>
      </c>
      <c r="C74" s="165" t="s">
        <v>232</v>
      </c>
      <c r="D74" s="146">
        <v>6.5</v>
      </c>
      <c r="E74" s="155">
        <v>3.4</v>
      </c>
      <c r="F74" s="120">
        <f t="shared" si="13"/>
        <v>-3.1</v>
      </c>
      <c r="G74" s="144">
        <f t="shared" si="14"/>
        <v>-3.069</v>
      </c>
      <c r="H74" s="143">
        <f t="shared" si="15"/>
        <v>0.13100000000000014</v>
      </c>
      <c r="I74" s="122">
        <f t="shared" si="16"/>
        <v>6.5</v>
      </c>
      <c r="J74" s="127">
        <f t="shared" si="17"/>
        <v>6.4349999999999996</v>
      </c>
      <c r="K74" s="127">
        <f t="shared" si="18"/>
        <v>6.5000000000000391E-2</v>
      </c>
      <c r="L74" s="119"/>
      <c r="M74" s="140">
        <f t="shared" si="19"/>
        <v>-0.70199999999999996</v>
      </c>
      <c r="N74" s="140">
        <f t="shared" si="20"/>
        <v>0.30790623572769682</v>
      </c>
      <c r="O74" s="140">
        <f t="shared" si="21"/>
        <v>2.367</v>
      </c>
      <c r="P74" s="143">
        <f t="shared" si="22"/>
        <v>0.36783216783216788</v>
      </c>
      <c r="Q74" s="143">
        <f t="shared" si="23"/>
        <v>0.16209811203355123</v>
      </c>
    </row>
    <row r="75" spans="2:17">
      <c r="B75" s="137">
        <v>9492.1329999999998</v>
      </c>
      <c r="C75" s="165" t="s">
        <v>233</v>
      </c>
      <c r="D75" s="146">
        <v>5.2</v>
      </c>
      <c r="E75" s="155">
        <v>3.5</v>
      </c>
      <c r="F75" s="120">
        <f t="shared" si="13"/>
        <v>-1.7000000000000002</v>
      </c>
      <c r="G75" s="144">
        <f t="shared" si="14"/>
        <v>-1.6830000000000001</v>
      </c>
      <c r="H75" s="143">
        <f t="shared" si="15"/>
        <v>0.11700000000000013</v>
      </c>
      <c r="I75" s="122">
        <f t="shared" si="16"/>
        <v>5.2</v>
      </c>
      <c r="J75" s="127">
        <f t="shared" si="17"/>
        <v>5.1479999999999997</v>
      </c>
      <c r="K75" s="127">
        <f t="shared" si="18"/>
        <v>5.200000000000049E-2</v>
      </c>
      <c r="L75" s="119"/>
      <c r="M75" s="140">
        <f t="shared" si="19"/>
        <v>-0.70199999999999996</v>
      </c>
      <c r="N75" s="140">
        <f t="shared" si="20"/>
        <v>0.30790623572769682</v>
      </c>
      <c r="O75" s="140">
        <f t="shared" si="21"/>
        <v>0.98100000000000009</v>
      </c>
      <c r="P75" s="143">
        <f t="shared" si="22"/>
        <v>0.1905594405594406</v>
      </c>
      <c r="Q75" s="143">
        <f t="shared" si="23"/>
        <v>8.4625150363570351E-2</v>
      </c>
    </row>
    <row r="76" spans="2:17">
      <c r="B76" s="137">
        <v>9492.134</v>
      </c>
      <c r="C76" s="165" t="s">
        <v>234</v>
      </c>
      <c r="D76" s="146">
        <v>6.2</v>
      </c>
      <c r="E76" s="155">
        <v>3.9</v>
      </c>
      <c r="F76" s="120">
        <f t="shared" si="13"/>
        <v>-2.3000000000000003</v>
      </c>
      <c r="G76" s="144">
        <f t="shared" si="14"/>
        <v>-2.2770000000000001</v>
      </c>
      <c r="H76" s="143">
        <f t="shared" si="15"/>
        <v>0.12300000000000014</v>
      </c>
      <c r="I76" s="122">
        <f t="shared" si="16"/>
        <v>6.2</v>
      </c>
      <c r="J76" s="127">
        <f t="shared" si="17"/>
        <v>6.1379999999999999</v>
      </c>
      <c r="K76" s="127">
        <f t="shared" si="18"/>
        <v>6.2000000000000277E-2</v>
      </c>
      <c r="L76" s="119"/>
      <c r="M76" s="140">
        <f t="shared" si="19"/>
        <v>-0.70199999999999996</v>
      </c>
      <c r="N76" s="140">
        <f t="shared" si="20"/>
        <v>0.30790623572769682</v>
      </c>
      <c r="O76" s="140">
        <f t="shared" si="21"/>
        <v>1.5750000000000002</v>
      </c>
      <c r="P76" s="143">
        <f t="shared" si="22"/>
        <v>0.25659824046920826</v>
      </c>
      <c r="Q76" s="143">
        <f t="shared" si="23"/>
        <v>0.11339762386311407</v>
      </c>
    </row>
    <row r="77" spans="2:17">
      <c r="B77" s="137">
        <v>9492.1350000000002</v>
      </c>
      <c r="C77" s="165" t="s">
        <v>235</v>
      </c>
      <c r="D77" s="146">
        <v>5.6</v>
      </c>
      <c r="E77" s="155">
        <v>3.8</v>
      </c>
      <c r="F77" s="120">
        <f t="shared" si="13"/>
        <v>-1.7999999999999998</v>
      </c>
      <c r="G77" s="144">
        <f t="shared" si="14"/>
        <v>-1.7819999999999998</v>
      </c>
      <c r="H77" s="143">
        <f t="shared" si="15"/>
        <v>0.11800000000000002</v>
      </c>
      <c r="I77" s="122">
        <f t="shared" si="16"/>
        <v>5.6</v>
      </c>
      <c r="J77" s="127">
        <f t="shared" si="17"/>
        <v>5.5439999999999996</v>
      </c>
      <c r="K77" s="127">
        <f t="shared" si="18"/>
        <v>5.600000000000005E-2</v>
      </c>
      <c r="L77" s="119"/>
      <c r="M77" s="140">
        <f t="shared" si="19"/>
        <v>-0.70199999999999996</v>
      </c>
      <c r="N77" s="140">
        <f t="shared" si="20"/>
        <v>0.30790623572769682</v>
      </c>
      <c r="O77" s="140">
        <f t="shared" si="21"/>
        <v>1.0799999999999998</v>
      </c>
      <c r="P77" s="143">
        <f t="shared" si="22"/>
        <v>0.19480519480519479</v>
      </c>
      <c r="Q77" s="143">
        <f t="shared" si="23"/>
        <v>8.6412308128893944E-2</v>
      </c>
    </row>
    <row r="78" spans="2:17">
      <c r="B78" s="145">
        <v>9492.1419999999998</v>
      </c>
      <c r="C78" s="165" t="s">
        <v>236</v>
      </c>
      <c r="D78" s="146">
        <v>5.5</v>
      </c>
      <c r="E78" s="155">
        <v>3.4</v>
      </c>
      <c r="F78" s="120">
        <f t="shared" si="13"/>
        <v>-2.1</v>
      </c>
      <c r="G78" s="144">
        <f t="shared" si="14"/>
        <v>-2.0790000000000002</v>
      </c>
      <c r="H78" s="143">
        <f t="shared" si="15"/>
        <v>0.12099999999999991</v>
      </c>
      <c r="I78" s="122">
        <f t="shared" si="16"/>
        <v>5.5</v>
      </c>
      <c r="J78" s="127">
        <f t="shared" si="17"/>
        <v>5.4450000000000003</v>
      </c>
      <c r="K78" s="127">
        <f t="shared" si="18"/>
        <v>5.4999999999999716E-2</v>
      </c>
      <c r="L78" s="119"/>
      <c r="M78" s="140">
        <f t="shared" si="19"/>
        <v>-0.70199999999999996</v>
      </c>
      <c r="N78" s="140">
        <f t="shared" si="20"/>
        <v>0.30790623572769682</v>
      </c>
      <c r="O78" s="140">
        <f t="shared" si="21"/>
        <v>1.3770000000000002</v>
      </c>
      <c r="P78" s="143">
        <f t="shared" si="22"/>
        <v>0.2528925619834711</v>
      </c>
      <c r="Q78" s="143">
        <f t="shared" si="23"/>
        <v>0.11189420355163061</v>
      </c>
    </row>
    <row r="79" spans="2:17">
      <c r="B79" s="145">
        <v>9492.143</v>
      </c>
      <c r="C79" s="165" t="s">
        <v>237</v>
      </c>
      <c r="D79" s="146">
        <v>4.9000000000000004</v>
      </c>
      <c r="E79" s="155">
        <v>3.3</v>
      </c>
      <c r="F79" s="120">
        <f t="shared" si="13"/>
        <v>-1.6000000000000005</v>
      </c>
      <c r="G79" s="144">
        <f t="shared" si="14"/>
        <v>-1.5840000000000005</v>
      </c>
      <c r="H79" s="143">
        <f t="shared" si="15"/>
        <v>0.11600000000000002</v>
      </c>
      <c r="I79" s="122">
        <f t="shared" si="16"/>
        <v>4.9000000000000004</v>
      </c>
      <c r="J79" s="127">
        <f t="shared" si="17"/>
        <v>4.851</v>
      </c>
      <c r="K79" s="127">
        <f t="shared" si="18"/>
        <v>4.9000000000000377E-2</v>
      </c>
      <c r="L79" s="119"/>
      <c r="M79" s="140">
        <f t="shared" si="19"/>
        <v>-0.70199999999999996</v>
      </c>
      <c r="N79" s="140">
        <f t="shared" si="20"/>
        <v>0.30790623572769682</v>
      </c>
      <c r="O79" s="140">
        <f t="shared" si="21"/>
        <v>0.88200000000000056</v>
      </c>
      <c r="P79" s="143">
        <f t="shared" si="22"/>
        <v>0.18181818181818193</v>
      </c>
      <c r="Q79" s="143">
        <f t="shared" si="23"/>
        <v>8.0851710834028007E-2</v>
      </c>
    </row>
    <row r="80" spans="2:17">
      <c r="B80" s="145">
        <v>9492.1440000000002</v>
      </c>
      <c r="C80" s="165" t="s">
        <v>238</v>
      </c>
      <c r="D80" s="146">
        <v>5.0999999999999996</v>
      </c>
      <c r="E80" s="155">
        <v>3.3</v>
      </c>
      <c r="F80" s="120">
        <f t="shared" si="13"/>
        <v>-1.7999999999999998</v>
      </c>
      <c r="G80" s="144">
        <f t="shared" si="14"/>
        <v>-1.7819999999999998</v>
      </c>
      <c r="H80" s="143">
        <f t="shared" si="15"/>
        <v>0.11800000000000002</v>
      </c>
      <c r="I80" s="122">
        <f t="shared" si="16"/>
        <v>5.0999999999999996</v>
      </c>
      <c r="J80" s="127">
        <f t="shared" si="17"/>
        <v>5.0489999999999995</v>
      </c>
      <c r="K80" s="127">
        <f t="shared" si="18"/>
        <v>5.1000000000000156E-2</v>
      </c>
      <c r="L80" s="119"/>
      <c r="M80" s="140">
        <f t="shared" si="19"/>
        <v>-0.70199999999999996</v>
      </c>
      <c r="N80" s="140">
        <f t="shared" si="20"/>
        <v>0.30790623572769682</v>
      </c>
      <c r="O80" s="140">
        <f t="shared" si="21"/>
        <v>1.0799999999999998</v>
      </c>
      <c r="P80" s="143">
        <f t="shared" si="22"/>
        <v>0.21390374331550802</v>
      </c>
      <c r="Q80" s="143">
        <f t="shared" si="23"/>
        <v>9.4884103043491388E-2</v>
      </c>
    </row>
    <row r="81" spans="2:17">
      <c r="B81" s="145">
        <v>9492.1679999999997</v>
      </c>
      <c r="C81" s="165" t="s">
        <v>239</v>
      </c>
      <c r="D81" s="146">
        <v>4.3</v>
      </c>
      <c r="E81" s="155">
        <v>1.5</v>
      </c>
      <c r="F81" s="120">
        <f t="shared" si="13"/>
        <v>-2.8</v>
      </c>
      <c r="G81" s="144">
        <f t="shared" si="14"/>
        <v>-2.7719999999999998</v>
      </c>
      <c r="H81" s="143">
        <f t="shared" si="15"/>
        <v>0.12800000000000003</v>
      </c>
      <c r="I81" s="122">
        <f t="shared" si="16"/>
        <v>4.3</v>
      </c>
      <c r="J81" s="127">
        <f t="shared" si="17"/>
        <v>4.2569999999999997</v>
      </c>
      <c r="K81" s="127">
        <f t="shared" si="18"/>
        <v>4.3000000000000149E-2</v>
      </c>
      <c r="L81" s="119"/>
      <c r="M81" s="140">
        <f t="shared" si="19"/>
        <v>-0.70199999999999996</v>
      </c>
      <c r="N81" s="140">
        <f t="shared" si="20"/>
        <v>0.30790623572769682</v>
      </c>
      <c r="O81" s="140">
        <f t="shared" si="21"/>
        <v>2.0699999999999998</v>
      </c>
      <c r="P81" s="143">
        <f t="shared" si="22"/>
        <v>0.48625792811839325</v>
      </c>
      <c r="Q81" s="143">
        <f t="shared" si="23"/>
        <v>0.21445765120389917</v>
      </c>
    </row>
    <row r="82" spans="2:17">
      <c r="B82" s="145">
        <v>9492.1689999999999</v>
      </c>
      <c r="C82" s="165" t="s">
        <v>240</v>
      </c>
      <c r="D82" s="146">
        <v>5</v>
      </c>
      <c r="E82" s="155">
        <v>3.1</v>
      </c>
      <c r="F82" s="120">
        <f t="shared" si="13"/>
        <v>-1.9</v>
      </c>
      <c r="G82" s="144">
        <f t="shared" si="14"/>
        <v>-1.881</v>
      </c>
      <c r="H82" s="143">
        <f t="shared" si="15"/>
        <v>0.11899999999999991</v>
      </c>
      <c r="I82" s="122">
        <f t="shared" si="16"/>
        <v>5</v>
      </c>
      <c r="J82" s="127">
        <f t="shared" si="17"/>
        <v>4.95</v>
      </c>
      <c r="K82" s="127">
        <f t="shared" si="18"/>
        <v>4.9999999999999822E-2</v>
      </c>
      <c r="L82" s="119"/>
      <c r="M82" s="140">
        <f t="shared" si="19"/>
        <v>-0.70199999999999996</v>
      </c>
      <c r="N82" s="140">
        <f t="shared" si="20"/>
        <v>0.30790623572769682</v>
      </c>
      <c r="O82" s="140">
        <f t="shared" si="21"/>
        <v>1.179</v>
      </c>
      <c r="P82" s="143">
        <f t="shared" si="22"/>
        <v>0.23818181818181819</v>
      </c>
      <c r="Q82" s="143">
        <f t="shared" si="23"/>
        <v>0.10555072693059021</v>
      </c>
    </row>
    <row r="83" spans="2:17">
      <c r="B83" s="145">
        <v>9492.1779999999999</v>
      </c>
      <c r="C83" s="165" t="s">
        <v>241</v>
      </c>
      <c r="D83" s="146">
        <v>3</v>
      </c>
      <c r="E83" s="155">
        <v>1.3</v>
      </c>
      <c r="F83" s="120">
        <f t="shared" si="13"/>
        <v>-1.7</v>
      </c>
      <c r="G83" s="144">
        <f t="shared" si="14"/>
        <v>-1.6830000000000001</v>
      </c>
      <c r="H83" s="143">
        <f t="shared" si="15"/>
        <v>0.11699999999999991</v>
      </c>
      <c r="I83" s="122">
        <f t="shared" si="16"/>
        <v>3</v>
      </c>
      <c r="J83" s="127">
        <f t="shared" si="17"/>
        <v>2.9699999999999998</v>
      </c>
      <c r="K83" s="127">
        <f t="shared" si="18"/>
        <v>3.0000000000000249E-2</v>
      </c>
      <c r="L83" s="119"/>
      <c r="M83" s="140">
        <f t="shared" si="19"/>
        <v>-0.70199999999999996</v>
      </c>
      <c r="N83" s="140">
        <f t="shared" si="20"/>
        <v>0.30790623572769682</v>
      </c>
      <c r="O83" s="140">
        <f t="shared" si="21"/>
        <v>0.98100000000000009</v>
      </c>
      <c r="P83" s="143">
        <f t="shared" si="22"/>
        <v>0.33030303030303038</v>
      </c>
      <c r="Q83" s="143">
        <f t="shared" si="23"/>
        <v>0.14668359396352193</v>
      </c>
    </row>
    <row r="84" spans="2:17">
      <c r="B84" s="145">
        <v>9592.0020000000004</v>
      </c>
      <c r="C84" s="165" t="s">
        <v>242</v>
      </c>
      <c r="D84" s="146">
        <v>10.199999999999999</v>
      </c>
      <c r="E84" s="155">
        <v>4</v>
      </c>
      <c r="F84" s="120">
        <f t="shared" si="13"/>
        <v>-6.1999999999999993</v>
      </c>
      <c r="G84" s="144">
        <f t="shared" si="14"/>
        <v>-6.137999999999999</v>
      </c>
      <c r="H84" s="143">
        <f t="shared" si="15"/>
        <v>0.16200000000000028</v>
      </c>
      <c r="I84" s="122">
        <f t="shared" si="16"/>
        <v>10.199999999999999</v>
      </c>
      <c r="J84" s="127">
        <f t="shared" si="17"/>
        <v>10.097999999999999</v>
      </c>
      <c r="K84" s="127">
        <f t="shared" si="18"/>
        <v>0.10200000000000031</v>
      </c>
      <c r="L84" s="119"/>
      <c r="M84" s="140">
        <f t="shared" si="19"/>
        <v>-0.70199999999999996</v>
      </c>
      <c r="N84" s="140">
        <f t="shared" si="20"/>
        <v>0.30790623572769682</v>
      </c>
      <c r="O84" s="140">
        <f t="shared" si="21"/>
        <v>5.4359999999999991</v>
      </c>
      <c r="P84" s="143">
        <f t="shared" si="22"/>
        <v>0.53832442067736186</v>
      </c>
      <c r="Q84" s="143">
        <f t="shared" si="23"/>
        <v>0.23654310692512096</v>
      </c>
    </row>
    <row r="85" spans="2:17">
      <c r="B85" s="145">
        <v>9592.0120000000006</v>
      </c>
      <c r="C85" s="165" t="s">
        <v>243</v>
      </c>
      <c r="D85" s="146">
        <v>11.6</v>
      </c>
      <c r="E85" s="155">
        <v>4.5</v>
      </c>
      <c r="F85" s="120">
        <f t="shared" si="13"/>
        <v>-7.1</v>
      </c>
      <c r="G85" s="144">
        <f t="shared" si="14"/>
        <v>-7.0289999999999999</v>
      </c>
      <c r="H85" s="143">
        <f t="shared" si="15"/>
        <v>0.17099999999999974</v>
      </c>
      <c r="I85" s="122">
        <f t="shared" si="16"/>
        <v>11.6</v>
      </c>
      <c r="J85" s="127">
        <f t="shared" si="17"/>
        <v>11.484</v>
      </c>
      <c r="K85" s="127">
        <f t="shared" si="18"/>
        <v>0.11599999999999966</v>
      </c>
      <c r="L85" s="119"/>
      <c r="M85" s="140">
        <f t="shared" si="19"/>
        <v>-0.70199999999999996</v>
      </c>
      <c r="N85" s="140">
        <f t="shared" si="20"/>
        <v>0.30790623572769682</v>
      </c>
      <c r="O85" s="140">
        <f t="shared" si="21"/>
        <v>6.327</v>
      </c>
      <c r="P85" s="143">
        <f t="shared" si="22"/>
        <v>0.55094043887147337</v>
      </c>
      <c r="Q85" s="143">
        <f t="shared" si="23"/>
        <v>0.24202098744033379</v>
      </c>
    </row>
    <row r="86" spans="2:17">
      <c r="B86" s="145">
        <v>9592.0130000000008</v>
      </c>
      <c r="C86" s="165" t="s">
        <v>244</v>
      </c>
      <c r="D86" s="146">
        <v>10.6</v>
      </c>
      <c r="E86" s="155">
        <v>4.5</v>
      </c>
      <c r="F86" s="120">
        <f t="shared" si="13"/>
        <v>-6.1</v>
      </c>
      <c r="G86" s="144">
        <f t="shared" si="14"/>
        <v>-6.0389999999999997</v>
      </c>
      <c r="H86" s="143">
        <f t="shared" si="15"/>
        <v>0.16099999999999995</v>
      </c>
      <c r="I86" s="122">
        <f t="shared" si="16"/>
        <v>10.6</v>
      </c>
      <c r="J86" s="127">
        <f t="shared" si="17"/>
        <v>10.494</v>
      </c>
      <c r="K86" s="127">
        <f t="shared" si="18"/>
        <v>0.10599999999999987</v>
      </c>
      <c r="L86" s="119"/>
      <c r="M86" s="140">
        <f t="shared" si="19"/>
        <v>-0.70199999999999996</v>
      </c>
      <c r="N86" s="140">
        <f t="shared" si="20"/>
        <v>0.30790623572769682</v>
      </c>
      <c r="O86" s="140">
        <f t="shared" si="21"/>
        <v>5.3369999999999997</v>
      </c>
      <c r="P86" s="143">
        <f t="shared" si="22"/>
        <v>0.50857632933104635</v>
      </c>
      <c r="Q86" s="143">
        <f t="shared" si="23"/>
        <v>0.22347980994397637</v>
      </c>
    </row>
    <row r="87" spans="2:17">
      <c r="B87" s="145">
        <v>9592.0139999999992</v>
      </c>
      <c r="C87" s="165" t="s">
        <v>245</v>
      </c>
      <c r="D87" s="146">
        <v>9.1999999999999993</v>
      </c>
      <c r="E87" s="155">
        <v>4.5</v>
      </c>
      <c r="F87" s="120">
        <f t="shared" si="13"/>
        <v>-4.6999999999999993</v>
      </c>
      <c r="G87" s="144">
        <f t="shared" si="14"/>
        <v>-4.6529999999999996</v>
      </c>
      <c r="H87" s="143">
        <f t="shared" si="15"/>
        <v>0.14699999999999971</v>
      </c>
      <c r="I87" s="122">
        <f t="shared" si="16"/>
        <v>9.1999999999999993</v>
      </c>
      <c r="J87" s="127">
        <f t="shared" si="17"/>
        <v>9.1079999999999988</v>
      </c>
      <c r="K87" s="127">
        <f t="shared" si="18"/>
        <v>9.2000000000000526E-2</v>
      </c>
      <c r="L87" s="119"/>
      <c r="M87" s="140">
        <f t="shared" si="19"/>
        <v>-0.70199999999999996</v>
      </c>
      <c r="N87" s="140">
        <f t="shared" si="20"/>
        <v>0.30790623572769682</v>
      </c>
      <c r="O87" s="140">
        <f t="shared" si="21"/>
        <v>3.9509999999999996</v>
      </c>
      <c r="P87" s="143">
        <f t="shared" si="22"/>
        <v>0.43379446640316205</v>
      </c>
      <c r="Q87" s="143">
        <f t="shared" si="23"/>
        <v>0.19076075942613471</v>
      </c>
    </row>
    <row r="88" spans="2:17">
      <c r="B88" s="137">
        <v>9592.0370000000003</v>
      </c>
      <c r="C88" s="165" t="s">
        <v>246</v>
      </c>
      <c r="D88" s="146">
        <v>4.5999999999999996</v>
      </c>
      <c r="E88" s="155">
        <v>3</v>
      </c>
      <c r="F88" s="120">
        <f t="shared" si="13"/>
        <v>-1.5999999999999996</v>
      </c>
      <c r="G88" s="144">
        <f t="shared" si="14"/>
        <v>-1.5839999999999996</v>
      </c>
      <c r="H88" s="143">
        <f t="shared" si="15"/>
        <v>0.11600000000000002</v>
      </c>
      <c r="I88" s="122">
        <f t="shared" si="16"/>
        <v>4.5999999999999996</v>
      </c>
      <c r="J88" s="127">
        <f t="shared" si="17"/>
        <v>4.5539999999999994</v>
      </c>
      <c r="K88" s="127">
        <f t="shared" si="18"/>
        <v>4.6000000000000263E-2</v>
      </c>
      <c r="L88" s="119"/>
      <c r="M88" s="140">
        <f t="shared" si="19"/>
        <v>-0.70199999999999996</v>
      </c>
      <c r="N88" s="140">
        <f t="shared" si="20"/>
        <v>0.30790623572769682</v>
      </c>
      <c r="O88" s="140">
        <f t="shared" si="21"/>
        <v>0.88199999999999967</v>
      </c>
      <c r="P88" s="143">
        <f t="shared" si="22"/>
        <v>0.19367588932806321</v>
      </c>
      <c r="Q88" s="143">
        <f t="shared" si="23"/>
        <v>8.6124648497116735E-2</v>
      </c>
    </row>
    <row r="89" spans="2:17">
      <c r="B89" s="137">
        <v>9592.0380000000005</v>
      </c>
      <c r="C89" s="165" t="s">
        <v>247</v>
      </c>
      <c r="D89" s="146">
        <v>3.8</v>
      </c>
      <c r="E89" s="155">
        <v>2.5</v>
      </c>
      <c r="F89" s="120">
        <f t="shared" si="13"/>
        <v>-1.2999999999999998</v>
      </c>
      <c r="G89" s="144">
        <f t="shared" si="14"/>
        <v>-1.2869999999999999</v>
      </c>
      <c r="H89" s="143">
        <f t="shared" si="15"/>
        <v>0.11299999999999991</v>
      </c>
      <c r="I89" s="122">
        <f t="shared" si="16"/>
        <v>3.8</v>
      </c>
      <c r="J89" s="127">
        <f t="shared" si="17"/>
        <v>3.762</v>
      </c>
      <c r="K89" s="127">
        <f t="shared" si="18"/>
        <v>3.7999999999999812E-2</v>
      </c>
      <c r="L89" s="119"/>
      <c r="M89" s="140">
        <f t="shared" si="19"/>
        <v>-0.70199999999999996</v>
      </c>
      <c r="N89" s="140">
        <f t="shared" si="20"/>
        <v>0.30790623572769682</v>
      </c>
      <c r="O89" s="140">
        <f t="shared" si="21"/>
        <v>0.58499999999999996</v>
      </c>
      <c r="P89" s="143">
        <f t="shared" si="22"/>
        <v>0.15550239234449759</v>
      </c>
      <c r="Q89" s="143">
        <f t="shared" si="23"/>
        <v>6.9558478369369958E-2</v>
      </c>
    </row>
    <row r="90" spans="2:17">
      <c r="B90" s="145">
        <v>9592.0390000000007</v>
      </c>
      <c r="C90" s="165" t="s">
        <v>248</v>
      </c>
      <c r="D90" s="146">
        <v>7.3</v>
      </c>
      <c r="E90" s="155">
        <v>3.6</v>
      </c>
      <c r="F90" s="120">
        <f t="shared" si="13"/>
        <v>-3.6999999999999997</v>
      </c>
      <c r="G90" s="144">
        <f t="shared" si="14"/>
        <v>-3.6629999999999998</v>
      </c>
      <c r="H90" s="143">
        <f t="shared" si="15"/>
        <v>0.13699999999999993</v>
      </c>
      <c r="I90" s="122">
        <f t="shared" si="16"/>
        <v>7.3</v>
      </c>
      <c r="J90" s="127">
        <f t="shared" si="17"/>
        <v>7.2269999999999994</v>
      </c>
      <c r="K90" s="127">
        <f t="shared" si="18"/>
        <v>7.3000000000000398E-2</v>
      </c>
      <c r="L90" s="119"/>
      <c r="M90" s="140">
        <f t="shared" si="19"/>
        <v>-0.70199999999999996</v>
      </c>
      <c r="N90" s="140">
        <f t="shared" si="20"/>
        <v>0.30790623572769682</v>
      </c>
      <c r="O90" s="140">
        <f t="shared" si="21"/>
        <v>2.9609999999999999</v>
      </c>
      <c r="P90" s="143">
        <f t="shared" si="22"/>
        <v>0.40971357409713577</v>
      </c>
      <c r="Q90" s="143">
        <f t="shared" si="23"/>
        <v>0.18035779939566757</v>
      </c>
    </row>
    <row r="91" spans="2:17">
      <c r="B91" s="145">
        <v>9592.0409999999993</v>
      </c>
      <c r="C91" s="165" t="s">
        <v>249</v>
      </c>
      <c r="D91" s="146">
        <v>8.1</v>
      </c>
      <c r="E91" s="155">
        <v>4.0999999999999996</v>
      </c>
      <c r="F91" s="120">
        <f t="shared" si="13"/>
        <v>-4</v>
      </c>
      <c r="G91" s="144">
        <f t="shared" si="14"/>
        <v>-3.96</v>
      </c>
      <c r="H91" s="143">
        <f t="shared" si="15"/>
        <v>0.14000000000000004</v>
      </c>
      <c r="I91" s="122">
        <f t="shared" si="16"/>
        <v>8.1</v>
      </c>
      <c r="J91" s="127">
        <f t="shared" si="17"/>
        <v>8.0190000000000001</v>
      </c>
      <c r="K91" s="127">
        <f t="shared" si="18"/>
        <v>8.0999999999999517E-2</v>
      </c>
      <c r="L91" s="119"/>
      <c r="M91" s="140">
        <f t="shared" si="19"/>
        <v>-0.70199999999999996</v>
      </c>
      <c r="N91" s="140">
        <f t="shared" si="20"/>
        <v>0.30790623572769682</v>
      </c>
      <c r="O91" s="140">
        <f t="shared" si="21"/>
        <v>3.258</v>
      </c>
      <c r="P91" s="143">
        <f t="shared" si="22"/>
        <v>0.4062850729517396</v>
      </c>
      <c r="Q91" s="143">
        <f t="shared" si="23"/>
        <v>0.17877980082056386</v>
      </c>
    </row>
    <row r="92" spans="2:17">
      <c r="B92" s="145">
        <v>9592.0419999999995</v>
      </c>
      <c r="C92" s="165" t="s">
        <v>250</v>
      </c>
      <c r="D92" s="146">
        <v>7.9</v>
      </c>
      <c r="E92" s="155">
        <v>3.5</v>
      </c>
      <c r="F92" s="120">
        <f t="shared" si="13"/>
        <v>-4.4000000000000004</v>
      </c>
      <c r="G92" s="144">
        <f t="shared" si="14"/>
        <v>-4.3559999999999999</v>
      </c>
      <c r="H92" s="143">
        <f t="shared" si="15"/>
        <v>0.14400000000000049</v>
      </c>
      <c r="I92" s="122">
        <f t="shared" si="16"/>
        <v>7.9</v>
      </c>
      <c r="J92" s="127">
        <f t="shared" si="17"/>
        <v>7.8210000000000006</v>
      </c>
      <c r="K92" s="127">
        <f t="shared" si="18"/>
        <v>7.8999999999999737E-2</v>
      </c>
      <c r="L92" s="119"/>
      <c r="M92" s="140">
        <f t="shared" si="19"/>
        <v>-0.70199999999999996</v>
      </c>
      <c r="N92" s="140">
        <f t="shared" si="20"/>
        <v>0.30790623572769682</v>
      </c>
      <c r="O92" s="140">
        <f t="shared" si="21"/>
        <v>3.6539999999999999</v>
      </c>
      <c r="P92" s="143">
        <f t="shared" si="22"/>
        <v>0.46720368239355575</v>
      </c>
      <c r="Q92" s="143">
        <f t="shared" si="23"/>
        <v>0.2055027527923784</v>
      </c>
    </row>
    <row r="93" spans="2:17">
      <c r="B93" s="137">
        <v>9592.0429999999997</v>
      </c>
      <c r="C93" s="165" t="s">
        <v>251</v>
      </c>
      <c r="D93" s="146">
        <v>5.0999999999999996</v>
      </c>
      <c r="E93" s="155">
        <v>3.1</v>
      </c>
      <c r="F93" s="120">
        <f t="shared" si="13"/>
        <v>-1.9999999999999996</v>
      </c>
      <c r="G93" s="144">
        <f t="shared" si="14"/>
        <v>-1.9799999999999995</v>
      </c>
      <c r="H93" s="143">
        <f t="shared" si="15"/>
        <v>0.12000000000000002</v>
      </c>
      <c r="I93" s="122">
        <f t="shared" si="16"/>
        <v>5.0999999999999996</v>
      </c>
      <c r="J93" s="127">
        <f t="shared" si="17"/>
        <v>5.0489999999999995</v>
      </c>
      <c r="K93" s="127">
        <f t="shared" si="18"/>
        <v>5.1000000000000156E-2</v>
      </c>
      <c r="L93" s="119"/>
      <c r="M93" s="140">
        <f t="shared" si="19"/>
        <v>-0.70199999999999996</v>
      </c>
      <c r="N93" s="140">
        <f t="shared" si="20"/>
        <v>0.30790623572769682</v>
      </c>
      <c r="O93" s="140">
        <f t="shared" si="21"/>
        <v>1.2779999999999996</v>
      </c>
      <c r="P93" s="143">
        <f t="shared" si="22"/>
        <v>0.25311942959001776</v>
      </c>
      <c r="Q93" s="143">
        <f t="shared" si="23"/>
        <v>0.1120762831006631</v>
      </c>
    </row>
    <row r="94" spans="2:17">
      <c r="B94" s="137">
        <v>9592.0439999999999</v>
      </c>
      <c r="C94" s="165" t="s">
        <v>252</v>
      </c>
      <c r="D94" s="146">
        <v>5.5</v>
      </c>
      <c r="E94" s="155">
        <v>3.5</v>
      </c>
      <c r="F94" s="120">
        <f t="shared" si="13"/>
        <v>-2</v>
      </c>
      <c r="G94" s="144">
        <f t="shared" si="14"/>
        <v>-1.98</v>
      </c>
      <c r="H94" s="143">
        <f t="shared" si="15"/>
        <v>0.12000000000000002</v>
      </c>
      <c r="I94" s="122">
        <f t="shared" si="16"/>
        <v>5.5</v>
      </c>
      <c r="J94" s="127">
        <f t="shared" si="17"/>
        <v>5.4450000000000003</v>
      </c>
      <c r="K94" s="127">
        <f t="shared" si="18"/>
        <v>5.4999999999999716E-2</v>
      </c>
      <c r="L94" s="119"/>
      <c r="M94" s="140">
        <f t="shared" si="19"/>
        <v>-0.70199999999999996</v>
      </c>
      <c r="N94" s="140">
        <f t="shared" si="20"/>
        <v>0.30790623572769682</v>
      </c>
      <c r="O94" s="140">
        <f t="shared" si="21"/>
        <v>1.278</v>
      </c>
      <c r="P94" s="143">
        <f t="shared" si="22"/>
        <v>0.23471074380165288</v>
      </c>
      <c r="Q94" s="143">
        <f t="shared" si="23"/>
        <v>0.10392528069334217</v>
      </c>
    </row>
    <row r="95" spans="2:17">
      <c r="B95" s="137">
        <v>9592.0450000000001</v>
      </c>
      <c r="C95" s="165" t="s">
        <v>253</v>
      </c>
      <c r="D95" s="146">
        <v>5</v>
      </c>
      <c r="E95" s="155">
        <v>2.5</v>
      </c>
      <c r="F95" s="120">
        <f t="shared" si="13"/>
        <v>-2.5</v>
      </c>
      <c r="G95" s="144">
        <f t="shared" si="14"/>
        <v>-2.4750000000000001</v>
      </c>
      <c r="H95" s="143">
        <f t="shared" si="15"/>
        <v>0.12499999999999992</v>
      </c>
      <c r="I95" s="122">
        <f t="shared" si="16"/>
        <v>5</v>
      </c>
      <c r="J95" s="127">
        <f t="shared" si="17"/>
        <v>4.95</v>
      </c>
      <c r="K95" s="127">
        <f t="shared" si="18"/>
        <v>4.9999999999999822E-2</v>
      </c>
      <c r="L95" s="119"/>
      <c r="M95" s="140">
        <f t="shared" si="19"/>
        <v>-0.70199999999999996</v>
      </c>
      <c r="N95" s="140">
        <f t="shared" si="20"/>
        <v>0.30790623572769682</v>
      </c>
      <c r="O95" s="140">
        <f t="shared" si="21"/>
        <v>1.7730000000000001</v>
      </c>
      <c r="P95" s="143">
        <f t="shared" si="22"/>
        <v>0.35818181818181821</v>
      </c>
      <c r="Q95" s="143">
        <f t="shared" si="23"/>
        <v>0.15814123218518228</v>
      </c>
    </row>
    <row r="96" spans="2:17">
      <c r="B96" s="145">
        <v>9592.0460000000003</v>
      </c>
      <c r="C96" s="165" t="s">
        <v>254</v>
      </c>
      <c r="D96" s="146">
        <v>2.6</v>
      </c>
      <c r="E96" s="155">
        <v>1.3</v>
      </c>
      <c r="F96" s="120">
        <f t="shared" si="13"/>
        <v>-1.3</v>
      </c>
      <c r="G96" s="144">
        <f t="shared" si="14"/>
        <v>-1.2869999999999999</v>
      </c>
      <c r="H96" s="143">
        <f t="shared" si="15"/>
        <v>0.11300000000000013</v>
      </c>
      <c r="I96" s="122">
        <f t="shared" si="16"/>
        <v>2.6</v>
      </c>
      <c r="J96" s="127">
        <f t="shared" si="17"/>
        <v>2.5739999999999998</v>
      </c>
      <c r="K96" s="127">
        <f t="shared" si="18"/>
        <v>2.6000000000000245E-2</v>
      </c>
      <c r="L96" s="119"/>
      <c r="M96" s="140">
        <f t="shared" si="19"/>
        <v>-0.70199999999999996</v>
      </c>
      <c r="N96" s="140">
        <f t="shared" si="20"/>
        <v>0.30790623572769682</v>
      </c>
      <c r="O96" s="140">
        <f t="shared" si="21"/>
        <v>0.58499999999999996</v>
      </c>
      <c r="P96" s="143">
        <f t="shared" si="22"/>
        <v>0.22727272727272727</v>
      </c>
      <c r="Q96" s="143">
        <f t="shared" si="23"/>
        <v>0.10166239146292534</v>
      </c>
    </row>
    <row r="97" spans="1:17">
      <c r="B97" s="137">
        <v>9592.0470000000005</v>
      </c>
      <c r="C97" s="165" t="s">
        <v>255</v>
      </c>
      <c r="D97" s="146">
        <v>6.1</v>
      </c>
      <c r="E97" s="155">
        <v>3.5</v>
      </c>
      <c r="F97" s="120">
        <f t="shared" si="13"/>
        <v>-2.5999999999999996</v>
      </c>
      <c r="G97" s="144">
        <f t="shared" si="14"/>
        <v>-2.5739999999999998</v>
      </c>
      <c r="H97" s="143">
        <f t="shared" si="15"/>
        <v>0.12599999999999981</v>
      </c>
      <c r="I97" s="122">
        <f t="shared" si="16"/>
        <v>6.1</v>
      </c>
      <c r="J97" s="127">
        <f t="shared" si="17"/>
        <v>6.0389999999999997</v>
      </c>
      <c r="K97" s="127">
        <f t="shared" si="18"/>
        <v>6.0999999999999943E-2</v>
      </c>
      <c r="L97" s="119"/>
      <c r="M97" s="140">
        <f t="shared" si="19"/>
        <v>-0.70199999999999996</v>
      </c>
      <c r="N97" s="140">
        <f t="shared" si="20"/>
        <v>0.30790623572769682</v>
      </c>
      <c r="O97" s="140">
        <f t="shared" si="21"/>
        <v>1.8719999999999999</v>
      </c>
      <c r="P97" s="143">
        <f t="shared" si="22"/>
        <v>0.30998509687034276</v>
      </c>
      <c r="Q97" s="143">
        <f t="shared" si="23"/>
        <v>0.1368075796434233</v>
      </c>
    </row>
    <row r="98" spans="1:17">
      <c r="B98" s="145">
        <v>9592.0480000000007</v>
      </c>
      <c r="C98" s="165" t="s">
        <v>256</v>
      </c>
      <c r="D98" s="146">
        <v>3.2</v>
      </c>
      <c r="E98" s="155">
        <v>1.5</v>
      </c>
      <c r="F98" s="120">
        <f t="shared" si="13"/>
        <v>-1.7000000000000002</v>
      </c>
      <c r="G98" s="144">
        <f t="shared" si="14"/>
        <v>-1.6830000000000001</v>
      </c>
      <c r="H98" s="143">
        <f t="shared" si="15"/>
        <v>0.11700000000000013</v>
      </c>
      <c r="I98" s="122">
        <f t="shared" si="16"/>
        <v>3.2</v>
      </c>
      <c r="J98" s="127">
        <f t="shared" si="17"/>
        <v>3.1680000000000001</v>
      </c>
      <c r="K98" s="127">
        <f t="shared" si="18"/>
        <v>3.2000000000000028E-2</v>
      </c>
      <c r="L98" s="119"/>
      <c r="M98" s="140">
        <f t="shared" si="19"/>
        <v>-0.70199999999999996</v>
      </c>
      <c r="N98" s="140">
        <f t="shared" si="20"/>
        <v>0.30790623572769682</v>
      </c>
      <c r="O98" s="140">
        <f t="shared" si="21"/>
        <v>0.98100000000000009</v>
      </c>
      <c r="P98" s="143">
        <f t="shared" si="22"/>
        <v>0.30965909090909094</v>
      </c>
      <c r="Q98" s="143">
        <f t="shared" si="23"/>
        <v>0.13751586934080179</v>
      </c>
    </row>
    <row r="99" spans="1:17">
      <c r="B99" s="145">
        <v>9592.0490000000009</v>
      </c>
      <c r="C99" s="165" t="s">
        <v>257</v>
      </c>
      <c r="D99" s="146">
        <v>4.2</v>
      </c>
      <c r="E99" s="155">
        <v>2.2000000000000002</v>
      </c>
      <c r="F99" s="120">
        <f t="shared" si="13"/>
        <v>-2</v>
      </c>
      <c r="G99" s="144">
        <f t="shared" si="14"/>
        <v>-1.98</v>
      </c>
      <c r="H99" s="143">
        <f t="shared" si="15"/>
        <v>0.12000000000000002</v>
      </c>
      <c r="I99" s="122">
        <f t="shared" si="16"/>
        <v>4.2</v>
      </c>
      <c r="J99" s="127">
        <f t="shared" si="17"/>
        <v>4.1580000000000004</v>
      </c>
      <c r="K99" s="127">
        <f t="shared" si="18"/>
        <v>4.1999999999999815E-2</v>
      </c>
      <c r="L99" s="119"/>
      <c r="M99" s="140">
        <f t="shared" si="19"/>
        <v>-0.70199999999999996</v>
      </c>
      <c r="N99" s="140">
        <f t="shared" si="20"/>
        <v>0.30790623572769682</v>
      </c>
      <c r="O99" s="140">
        <f t="shared" si="21"/>
        <v>1.278</v>
      </c>
      <c r="P99" s="143">
        <f t="shared" si="22"/>
        <v>0.30735930735930733</v>
      </c>
      <c r="Q99" s="143">
        <f t="shared" si="23"/>
        <v>0.13609262947937664</v>
      </c>
    </row>
    <row r="100" spans="1:17">
      <c r="B100" s="145">
        <v>9592.0499999999993</v>
      </c>
      <c r="C100" s="165" t="s">
        <v>258</v>
      </c>
      <c r="D100" s="146">
        <v>7.9</v>
      </c>
      <c r="E100" s="155">
        <v>3.9</v>
      </c>
      <c r="F100" s="120">
        <f t="shared" si="13"/>
        <v>-4</v>
      </c>
      <c r="G100" s="144">
        <f t="shared" si="14"/>
        <v>-3.96</v>
      </c>
      <c r="H100" s="143">
        <f t="shared" si="15"/>
        <v>0.14000000000000004</v>
      </c>
      <c r="I100" s="122">
        <f t="shared" si="16"/>
        <v>7.9</v>
      </c>
      <c r="J100" s="127">
        <f t="shared" si="17"/>
        <v>7.8210000000000006</v>
      </c>
      <c r="K100" s="127">
        <f t="shared" si="18"/>
        <v>7.8999999999999737E-2</v>
      </c>
      <c r="L100" s="119"/>
      <c r="M100" s="140">
        <f t="shared" si="19"/>
        <v>-0.70199999999999996</v>
      </c>
      <c r="N100" s="140">
        <f t="shared" si="20"/>
        <v>0.30790623572769682</v>
      </c>
      <c r="O100" s="140">
        <f t="shared" si="21"/>
        <v>3.258</v>
      </c>
      <c r="P100" s="143">
        <f t="shared" si="22"/>
        <v>0.4165707710011507</v>
      </c>
      <c r="Q100" s="143">
        <f t="shared" si="23"/>
        <v>0.18330587172741356</v>
      </c>
    </row>
    <row r="101" spans="1:17">
      <c r="B101" s="145">
        <v>9592.0509999999995</v>
      </c>
      <c r="C101" s="165" t="s">
        <v>259</v>
      </c>
      <c r="D101" s="146">
        <v>4.2</v>
      </c>
      <c r="E101" s="155">
        <v>1.8</v>
      </c>
      <c r="F101" s="120">
        <f t="shared" si="13"/>
        <v>-2.4000000000000004</v>
      </c>
      <c r="G101" s="144">
        <f t="shared" si="14"/>
        <v>-2.3760000000000003</v>
      </c>
      <c r="H101" s="143">
        <f t="shared" si="15"/>
        <v>0.12400000000000003</v>
      </c>
      <c r="I101" s="122">
        <f t="shared" si="16"/>
        <v>4.2</v>
      </c>
      <c r="J101" s="127">
        <f t="shared" si="17"/>
        <v>4.1580000000000004</v>
      </c>
      <c r="K101" s="127">
        <f t="shared" si="18"/>
        <v>4.1999999999999815E-2</v>
      </c>
      <c r="L101" s="119"/>
      <c r="M101" s="140">
        <f t="shared" si="19"/>
        <v>-0.70199999999999996</v>
      </c>
      <c r="N101" s="140">
        <f t="shared" si="20"/>
        <v>0.30790623572769682</v>
      </c>
      <c r="O101" s="140">
        <f t="shared" si="21"/>
        <v>1.6740000000000004</v>
      </c>
      <c r="P101" s="143">
        <f t="shared" si="22"/>
        <v>0.40259740259740268</v>
      </c>
      <c r="Q101" s="143">
        <f t="shared" si="23"/>
        <v>0.17783000983233074</v>
      </c>
    </row>
    <row r="102" spans="1:17">
      <c r="B102" s="145">
        <v>9592.0519999999997</v>
      </c>
      <c r="C102" s="165" t="s">
        <v>260</v>
      </c>
      <c r="D102" s="146">
        <v>8</v>
      </c>
      <c r="E102" s="155">
        <v>4.2</v>
      </c>
      <c r="F102" s="120">
        <f t="shared" si="13"/>
        <v>-3.8</v>
      </c>
      <c r="G102" s="144">
        <f t="shared" si="14"/>
        <v>-3.762</v>
      </c>
      <c r="H102" s="143">
        <f t="shared" si="15"/>
        <v>0.13799999999999982</v>
      </c>
      <c r="I102" s="122">
        <f t="shared" si="16"/>
        <v>8</v>
      </c>
      <c r="J102" s="127">
        <f t="shared" si="17"/>
        <v>7.92</v>
      </c>
      <c r="K102" s="127">
        <f t="shared" si="18"/>
        <v>8.0000000000000071E-2</v>
      </c>
      <c r="L102" s="119"/>
      <c r="M102" s="140">
        <f t="shared" si="19"/>
        <v>-0.70199999999999996</v>
      </c>
      <c r="N102" s="140">
        <f t="shared" si="20"/>
        <v>0.30790623572769682</v>
      </c>
      <c r="O102" s="140">
        <f t="shared" si="21"/>
        <v>3.06</v>
      </c>
      <c r="P102" s="143">
        <f t="shared" si="22"/>
        <v>0.38636363636363635</v>
      </c>
      <c r="Q102" s="143">
        <f t="shared" si="23"/>
        <v>0.17005569101502363</v>
      </c>
    </row>
    <row r="103" spans="1:17">
      <c r="B103" s="145">
        <v>9592.06</v>
      </c>
      <c r="C103" s="165" t="s">
        <v>261</v>
      </c>
      <c r="D103" s="146">
        <v>11.1</v>
      </c>
      <c r="E103" s="155">
        <v>4.7</v>
      </c>
      <c r="F103" s="120">
        <f t="shared" si="13"/>
        <v>-6.3999999999999995</v>
      </c>
      <c r="G103" s="144">
        <f t="shared" si="14"/>
        <v>-6.3359999999999994</v>
      </c>
      <c r="H103" s="143">
        <f t="shared" si="15"/>
        <v>0.16400000000000006</v>
      </c>
      <c r="I103" s="122">
        <f t="shared" si="16"/>
        <v>11.1</v>
      </c>
      <c r="J103" s="127">
        <f t="shared" si="17"/>
        <v>10.988999999999999</v>
      </c>
      <c r="K103" s="127">
        <f t="shared" si="18"/>
        <v>0.11100000000000065</v>
      </c>
      <c r="L103" s="119"/>
      <c r="M103" s="140">
        <f t="shared" si="19"/>
        <v>-0.70199999999999996</v>
      </c>
      <c r="N103" s="140">
        <f t="shared" si="20"/>
        <v>0.30790623572769682</v>
      </c>
      <c r="O103" s="140">
        <f t="shared" si="21"/>
        <v>5.6339999999999995</v>
      </c>
      <c r="P103" s="143">
        <f t="shared" si="22"/>
        <v>0.51269451269451272</v>
      </c>
      <c r="Q103" s="143">
        <f t="shared" si="23"/>
        <v>0.22526563776685224</v>
      </c>
    </row>
    <row r="104" spans="1:17">
      <c r="B104" s="145">
        <v>791.00800000000004</v>
      </c>
      <c r="C104" s="165" t="s">
        <v>262</v>
      </c>
      <c r="D104" s="146">
        <v>4.0999999999999996</v>
      </c>
      <c r="E104" s="155">
        <v>1.7</v>
      </c>
      <c r="F104" s="120">
        <f t="shared" si="13"/>
        <v>-2.3999999999999995</v>
      </c>
      <c r="G104" s="144">
        <f t="shared" si="14"/>
        <v>-2.3759999999999994</v>
      </c>
      <c r="H104" s="143">
        <f t="shared" si="15"/>
        <v>0.12400000000000003</v>
      </c>
      <c r="I104" s="122">
        <f t="shared" si="16"/>
        <v>4.0999999999999996</v>
      </c>
      <c r="J104" s="127">
        <f t="shared" si="17"/>
        <v>4.0589999999999993</v>
      </c>
      <c r="K104" s="127">
        <f t="shared" si="18"/>
        <v>4.1000000000000369E-2</v>
      </c>
      <c r="L104" s="119"/>
      <c r="M104" s="140">
        <f t="shared" si="19"/>
        <v>-0.70199999999999996</v>
      </c>
      <c r="N104" s="140">
        <f t="shared" si="20"/>
        <v>0.30790623572769682</v>
      </c>
      <c r="O104" s="140">
        <f t="shared" si="21"/>
        <v>1.6739999999999995</v>
      </c>
      <c r="P104" s="143">
        <f t="shared" si="22"/>
        <v>0.41241685144124163</v>
      </c>
      <c r="Q104" s="143">
        <f t="shared" si="23"/>
        <v>0.18216732714531436</v>
      </c>
    </row>
    <row r="105" spans="1:17">
      <c r="B105" s="145">
        <v>791.00900000000001</v>
      </c>
      <c r="C105" s="165" t="s">
        <v>263</v>
      </c>
      <c r="D105" s="146">
        <v>4.0999999999999996</v>
      </c>
      <c r="E105" s="155">
        <v>2</v>
      </c>
      <c r="F105" s="120">
        <f t="shared" si="13"/>
        <v>-2.0999999999999996</v>
      </c>
      <c r="G105" s="144">
        <f t="shared" si="14"/>
        <v>-2.0789999999999997</v>
      </c>
      <c r="H105" s="143">
        <f t="shared" si="15"/>
        <v>0.12099999999999991</v>
      </c>
      <c r="I105" s="122">
        <f t="shared" si="16"/>
        <v>4.0999999999999996</v>
      </c>
      <c r="J105" s="127">
        <f t="shared" si="17"/>
        <v>4.0589999999999993</v>
      </c>
      <c r="K105" s="127">
        <f t="shared" si="18"/>
        <v>4.1000000000000369E-2</v>
      </c>
      <c r="L105" s="119"/>
      <c r="M105" s="140">
        <f t="shared" si="19"/>
        <v>-0.70199999999999996</v>
      </c>
      <c r="N105" s="140">
        <f t="shared" si="20"/>
        <v>0.30790623572769682</v>
      </c>
      <c r="O105" s="140">
        <f t="shared" si="21"/>
        <v>1.3769999999999998</v>
      </c>
      <c r="P105" s="143">
        <f t="shared" si="22"/>
        <v>0.3392461197339246</v>
      </c>
      <c r="Q105" s="143">
        <f t="shared" si="23"/>
        <v>0.1501019803741386</v>
      </c>
    </row>
    <row r="106" spans="1:17">
      <c r="B106" s="152" t="s">
        <v>86</v>
      </c>
      <c r="C106" s="153"/>
      <c r="D106" s="153"/>
    </row>
    <row r="107" spans="1:17" ht="29">
      <c r="F107" s="107" t="s">
        <v>9</v>
      </c>
      <c r="G107" s="107" t="s">
        <v>265</v>
      </c>
      <c r="H107" s="109"/>
      <c r="I107" s="109"/>
      <c r="J107" s="109"/>
      <c r="K107" s="109"/>
      <c r="L107" s="109"/>
      <c r="M107" s="109"/>
      <c r="N107" s="109"/>
      <c r="O107" s="109"/>
      <c r="P107" s="151"/>
    </row>
    <row r="108" spans="1:17">
      <c r="B108" s="106" t="s">
        <v>4</v>
      </c>
      <c r="F108" s="121">
        <f>AVERAGE(I3:I105)</f>
        <v>5.421359223300974</v>
      </c>
      <c r="G108" s="121">
        <f>STDEV(I3:I105)</f>
        <v>2.1155655844814856</v>
      </c>
      <c r="H108" s="116"/>
      <c r="I108" s="150"/>
      <c r="J108" s="147"/>
      <c r="K108" s="116"/>
      <c r="L108" s="116"/>
      <c r="M108" s="116"/>
      <c r="N108" s="116"/>
      <c r="O108" s="116"/>
      <c r="P108" s="116"/>
    </row>
    <row r="109" spans="1:17">
      <c r="B109" s="133" t="s">
        <v>59</v>
      </c>
      <c r="C109" s="121">
        <f>AVERAGE(F3:F105)</f>
        <v>-2.3533980582524272</v>
      </c>
      <c r="E109" s="106" t="s">
        <v>23</v>
      </c>
      <c r="F109" s="113">
        <f>F108*0.99</f>
        <v>5.3671456310679639</v>
      </c>
      <c r="G109" s="113">
        <f>G108+(F108-F109)</f>
        <v>2.1697791767144956</v>
      </c>
      <c r="H109" s="114"/>
      <c r="I109" s="150"/>
      <c r="J109" s="147"/>
      <c r="K109" s="116"/>
      <c r="L109" s="116"/>
      <c r="M109" s="114"/>
      <c r="N109" s="114"/>
      <c r="O109" s="114"/>
      <c r="P109" s="114"/>
    </row>
    <row r="110" spans="1:17" ht="16.5">
      <c r="A110" s="33" t="s">
        <v>82</v>
      </c>
      <c r="B110" s="135" t="s">
        <v>60</v>
      </c>
      <c r="C110" s="31">
        <f>C109*0.99</f>
        <v>-2.3298640776699031</v>
      </c>
      <c r="H110" s="110"/>
      <c r="I110" s="150"/>
      <c r="J110" s="147"/>
      <c r="K110" s="116"/>
      <c r="L110" s="116"/>
      <c r="M110" s="110"/>
      <c r="N110" s="110"/>
      <c r="O110" s="110"/>
      <c r="P110" s="110"/>
    </row>
    <row r="111" spans="1:17">
      <c r="A111" s="133"/>
      <c r="B111" s="105" t="s">
        <v>26</v>
      </c>
      <c r="C111" s="121">
        <f>STDEV(F3:F105)</f>
        <v>1.3393600706381099</v>
      </c>
      <c r="H111" s="110"/>
      <c r="I111" s="150"/>
      <c r="J111" s="147"/>
      <c r="K111" s="116"/>
      <c r="L111" s="116"/>
      <c r="M111" s="110"/>
      <c r="N111" s="110"/>
      <c r="O111" s="110"/>
      <c r="P111" s="110"/>
    </row>
    <row r="112" spans="1:17">
      <c r="A112" s="133"/>
      <c r="B112" s="105" t="s">
        <v>27</v>
      </c>
      <c r="C112" s="121">
        <f>C109-C110</f>
        <v>-2.3533980582524094E-2</v>
      </c>
      <c r="E112" s="135" t="s">
        <v>55</v>
      </c>
      <c r="F112" s="135"/>
      <c r="G112" s="135"/>
      <c r="I112" s="150"/>
      <c r="J112" s="147"/>
      <c r="K112" s="116"/>
      <c r="L112" s="116"/>
    </row>
    <row r="113" spans="1:12">
      <c r="A113" s="23" t="s">
        <v>282</v>
      </c>
      <c r="B113" s="105" t="s">
        <v>28</v>
      </c>
      <c r="C113" s="138">
        <v>0.1</v>
      </c>
      <c r="E113" s="133"/>
      <c r="F113" s="135" t="s">
        <v>56</v>
      </c>
      <c r="G113" s="135" t="s">
        <v>266</v>
      </c>
      <c r="H113" s="133"/>
      <c r="I113" s="150"/>
      <c r="J113" s="147"/>
      <c r="K113" s="116"/>
      <c r="L113" s="116"/>
    </row>
    <row r="114" spans="1:12" ht="16.5">
      <c r="A114" s="158" t="s">
        <v>83</v>
      </c>
      <c r="B114" s="106" t="s">
        <v>25</v>
      </c>
      <c r="C114" s="31">
        <f>(SQRT(C113^2+C111^2))+ABS(C112)</f>
        <v>1.3666219891730718</v>
      </c>
      <c r="F114" s="154">
        <f>AVERAGE(P3:P105)</f>
        <v>0.27563689423590582</v>
      </c>
      <c r="G114" s="154">
        <f>STDEV(P3:P105)/(SQRT(COUNT(P3:P105)))</f>
        <v>1.2231435963416422E-2</v>
      </c>
      <c r="I114" s="150"/>
      <c r="J114" s="147"/>
      <c r="K114" s="116"/>
      <c r="L114" s="116"/>
    </row>
    <row r="115" spans="1:12" s="133" customFormat="1">
      <c r="B115" s="135"/>
      <c r="C115" s="138"/>
      <c r="F115" s="139"/>
      <c r="G115" s="139"/>
      <c r="I115" s="150"/>
      <c r="J115" s="147"/>
      <c r="K115" s="116"/>
      <c r="L115" s="116"/>
    </row>
    <row r="116" spans="1:12" s="133" customFormat="1" ht="16.5">
      <c r="A116" s="33" t="s">
        <v>84</v>
      </c>
      <c r="B116" s="133" t="s">
        <v>64</v>
      </c>
      <c r="C116" s="31">
        <f>C127+C130</f>
        <v>0.45</v>
      </c>
      <c r="F116" s="139"/>
      <c r="G116" s="139"/>
      <c r="I116" s="150"/>
      <c r="J116" s="147"/>
      <c r="K116" s="116"/>
      <c r="L116" s="116"/>
    </row>
    <row r="117" spans="1:12" s="133" customFormat="1">
      <c r="A117" s="23" t="s">
        <v>73</v>
      </c>
      <c r="B117" s="133" t="s">
        <v>41</v>
      </c>
      <c r="C117" s="31">
        <f>SQRT((C128^2)+(C131^2))</f>
        <v>6.9327123119310233E-2</v>
      </c>
      <c r="F117" s="139"/>
      <c r="G117" s="139"/>
      <c r="I117" s="150"/>
      <c r="J117" s="147"/>
      <c r="K117" s="116"/>
      <c r="L117" s="116"/>
    </row>
    <row r="118" spans="1:12" s="133" customFormat="1">
      <c r="C118" s="139"/>
      <c r="I118" s="150"/>
      <c r="J118" s="147"/>
      <c r="K118" s="116"/>
      <c r="L118" s="116"/>
    </row>
    <row r="119" spans="1:12" s="133" customFormat="1">
      <c r="A119" s="33" t="s">
        <v>81</v>
      </c>
      <c r="B119" s="133" t="s">
        <v>62</v>
      </c>
      <c r="C119" s="113">
        <f>0-((-0.6*C122)-0.3)</f>
        <v>1.1519999999999999</v>
      </c>
      <c r="I119" s="150"/>
      <c r="J119" s="147"/>
      <c r="K119" s="116"/>
      <c r="L119" s="116"/>
    </row>
    <row r="120" spans="1:12" s="133" customFormat="1">
      <c r="A120" s="23" t="s">
        <v>67</v>
      </c>
      <c r="B120" s="133" t="s">
        <v>41</v>
      </c>
      <c r="C120" s="113">
        <v>0.3</v>
      </c>
      <c r="I120" s="150"/>
      <c r="J120" s="147"/>
      <c r="K120" s="116"/>
      <c r="L120" s="116"/>
    </row>
    <row r="121" spans="1:12">
      <c r="I121" s="150"/>
      <c r="J121" s="147"/>
      <c r="K121" s="116"/>
      <c r="L121" s="116"/>
    </row>
    <row r="122" spans="1:12">
      <c r="A122" s="33" t="s">
        <v>30</v>
      </c>
      <c r="B122" s="133" t="s">
        <v>51</v>
      </c>
      <c r="C122" s="30">
        <v>1.42</v>
      </c>
      <c r="I122" s="150"/>
      <c r="J122" s="147"/>
      <c r="K122" s="116"/>
      <c r="L122" s="116"/>
    </row>
    <row r="123" spans="1:12">
      <c r="A123" s="23" t="s">
        <v>73</v>
      </c>
      <c r="B123" s="133" t="s">
        <v>79</v>
      </c>
      <c r="C123" s="31">
        <v>4.8396269750398041E-2</v>
      </c>
      <c r="I123" s="150"/>
      <c r="J123" s="147"/>
      <c r="K123" s="116"/>
      <c r="L123" s="116"/>
    </row>
    <row r="124" spans="1:12">
      <c r="A124" s="23"/>
      <c r="B124" s="133"/>
      <c r="C124" s="138"/>
      <c r="I124" s="150"/>
      <c r="J124" s="147"/>
      <c r="K124" s="116"/>
      <c r="L124" s="116"/>
    </row>
    <row r="125" spans="1:12">
      <c r="A125" s="23" t="s">
        <v>72</v>
      </c>
      <c r="B125" s="136" t="s">
        <v>53</v>
      </c>
      <c r="C125" s="148">
        <v>0.01</v>
      </c>
      <c r="D125" s="133"/>
      <c r="I125" s="150"/>
      <c r="J125" s="147"/>
      <c r="K125" s="116"/>
      <c r="L125" s="116"/>
    </row>
    <row r="126" spans="1:12" s="133" customFormat="1">
      <c r="A126" s="23"/>
      <c r="B126" s="136" t="s">
        <v>52</v>
      </c>
      <c r="C126" s="149">
        <v>25</v>
      </c>
      <c r="I126" s="150"/>
      <c r="J126" s="147"/>
      <c r="K126" s="116"/>
      <c r="L126" s="116"/>
    </row>
    <row r="127" spans="1:12">
      <c r="A127" s="23"/>
      <c r="B127" s="136" t="s">
        <v>63</v>
      </c>
      <c r="C127" s="31">
        <f>C125*C126</f>
        <v>0.25</v>
      </c>
      <c r="I127" s="150"/>
      <c r="J127" s="147"/>
      <c r="K127" s="116"/>
      <c r="L127" s="116"/>
    </row>
    <row r="128" spans="1:12" s="133" customFormat="1">
      <c r="A128" s="23" t="s">
        <v>54</v>
      </c>
      <c r="B128" s="136" t="s">
        <v>41</v>
      </c>
      <c r="C128" s="31">
        <f>C127*0.25</f>
        <v>6.25E-2</v>
      </c>
      <c r="I128" s="150"/>
      <c r="J128" s="147"/>
      <c r="K128" s="116"/>
      <c r="L128" s="116"/>
    </row>
    <row r="129" spans="1:12" s="133" customFormat="1">
      <c r="A129" s="23"/>
      <c r="B129" s="141"/>
      <c r="C129" s="138"/>
      <c r="I129" s="150"/>
      <c r="J129" s="147"/>
      <c r="K129" s="116"/>
      <c r="L129" s="116"/>
    </row>
    <row r="130" spans="1:12" s="133" customFormat="1">
      <c r="A130" s="23" t="s">
        <v>65</v>
      </c>
      <c r="B130" s="157" t="s">
        <v>80</v>
      </c>
      <c r="C130" s="113">
        <v>0.2</v>
      </c>
      <c r="I130" s="150"/>
      <c r="J130" s="147"/>
      <c r="K130" s="116"/>
      <c r="L130" s="116"/>
    </row>
    <row r="131" spans="1:12" s="133" customFormat="1">
      <c r="A131" s="23"/>
      <c r="B131" s="157" t="s">
        <v>41</v>
      </c>
      <c r="C131" s="113">
        <v>0.03</v>
      </c>
      <c r="I131" s="150"/>
      <c r="J131" s="147"/>
      <c r="K131" s="116"/>
      <c r="L131" s="116"/>
    </row>
    <row r="132" spans="1:12" s="133" customFormat="1">
      <c r="A132" s="23"/>
      <c r="B132" s="141"/>
      <c r="C132" s="139"/>
      <c r="I132" s="150"/>
      <c r="J132" s="147"/>
      <c r="K132" s="116"/>
      <c r="L132" s="116"/>
    </row>
    <row r="133" spans="1:12">
      <c r="A133" s="33" t="s">
        <v>29</v>
      </c>
      <c r="B133" s="111" t="s">
        <v>10</v>
      </c>
      <c r="C133" s="13">
        <f>(C110-C116)+C119</f>
        <v>-1.6278640776699034</v>
      </c>
      <c r="I133" s="150"/>
      <c r="J133" s="147"/>
      <c r="K133" s="116"/>
      <c r="L133" s="116"/>
    </row>
    <row r="134" spans="1:12">
      <c r="A134" s="33"/>
      <c r="B134" s="111" t="s">
        <v>41</v>
      </c>
      <c r="C134" s="13">
        <f>SQRT((C114^2)+(C117^2)+(C120^2))</f>
        <v>1.4008789781031634</v>
      </c>
      <c r="I134" s="150"/>
      <c r="J134" s="147"/>
      <c r="K134" s="116"/>
      <c r="L134" s="116"/>
    </row>
    <row r="135" spans="1:12">
      <c r="A135" s="33"/>
      <c r="B135" s="111"/>
      <c r="C135" s="121"/>
      <c r="I135" s="150"/>
      <c r="J135" s="147"/>
      <c r="K135" s="116"/>
      <c r="L135" s="116"/>
    </row>
    <row r="136" spans="1:12">
      <c r="A136" s="33" t="s">
        <v>85</v>
      </c>
      <c r="B136" s="106" t="s">
        <v>11</v>
      </c>
      <c r="C136" s="13">
        <f>C133/C122</f>
        <v>-1.1463831532886644</v>
      </c>
      <c r="I136" s="150"/>
      <c r="J136" s="147"/>
      <c r="K136" s="116"/>
      <c r="L136" s="116"/>
    </row>
    <row r="137" spans="1:12">
      <c r="B137" s="135" t="s">
        <v>69</v>
      </c>
      <c r="C137" s="13">
        <f>ABS(C136*(SQRT((C134/C133)^2)+((C123/C122)^2)))</f>
        <v>0.98786610111913631</v>
      </c>
      <c r="I137" s="150"/>
      <c r="J137" s="147"/>
      <c r="K137" s="116"/>
      <c r="L137" s="116"/>
    </row>
    <row r="138" spans="1:12">
      <c r="I138" s="150"/>
      <c r="J138" s="147"/>
      <c r="K138" s="116"/>
      <c r="L138" s="116"/>
    </row>
    <row r="139" spans="1:12">
      <c r="I139" s="150"/>
      <c r="J139" s="147"/>
      <c r="K139" s="116"/>
      <c r="L139" s="116"/>
    </row>
    <row r="140" spans="1:12">
      <c r="I140" s="150"/>
      <c r="J140" s="147"/>
      <c r="K140" s="116"/>
      <c r="L140" s="116"/>
    </row>
    <row r="141" spans="1:12">
      <c r="I141" s="150"/>
      <c r="J141" s="147"/>
      <c r="K141" s="116"/>
      <c r="L141" s="116"/>
    </row>
    <row r="142" spans="1:12">
      <c r="I142" s="150"/>
      <c r="J142" s="147"/>
      <c r="K142" s="116"/>
      <c r="L142" s="116"/>
    </row>
    <row r="143" spans="1:12">
      <c r="I143" s="150"/>
      <c r="J143" s="147"/>
      <c r="K143" s="116"/>
      <c r="L143" s="116"/>
    </row>
    <row r="144" spans="1:12">
      <c r="I144" s="150"/>
      <c r="J144" s="147"/>
      <c r="K144" s="116"/>
      <c r="L144" s="116"/>
    </row>
    <row r="145" spans="9:12">
      <c r="I145" s="150"/>
      <c r="J145" s="147"/>
      <c r="K145" s="116"/>
      <c r="L145" s="116"/>
    </row>
    <row r="146" spans="9:12">
      <c r="I146" s="150"/>
      <c r="J146" s="147"/>
      <c r="K146" s="116"/>
      <c r="L146" s="116"/>
    </row>
    <row r="147" spans="9:12">
      <c r="I147" s="150"/>
      <c r="J147" s="147"/>
      <c r="K147" s="116"/>
      <c r="L147" s="116"/>
    </row>
    <row r="148" spans="9:12">
      <c r="I148" s="150"/>
      <c r="J148" s="147"/>
      <c r="K148" s="116"/>
      <c r="L148" s="116"/>
    </row>
    <row r="149" spans="9:12">
      <c r="I149" s="150"/>
      <c r="J149" s="147"/>
      <c r="K149" s="116"/>
      <c r="L149" s="116"/>
    </row>
    <row r="150" spans="9:12">
      <c r="I150" s="150"/>
      <c r="J150" s="147"/>
      <c r="K150" s="116"/>
      <c r="L150" s="116"/>
    </row>
    <row r="151" spans="9:12">
      <c r="I151" s="150"/>
      <c r="J151" s="147"/>
      <c r="K151" s="116"/>
      <c r="L151" s="116"/>
    </row>
    <row r="152" spans="9:12">
      <c r="I152" s="150"/>
      <c r="J152" s="147"/>
      <c r="K152" s="116"/>
      <c r="L152" s="116"/>
    </row>
    <row r="153" spans="9:12">
      <c r="I153" s="150"/>
      <c r="J153" s="147"/>
      <c r="K153" s="116"/>
      <c r="L153" s="116"/>
    </row>
    <row r="154" spans="9:12">
      <c r="I154" s="150"/>
      <c r="J154" s="147"/>
      <c r="K154" s="116"/>
      <c r="L154" s="116"/>
    </row>
    <row r="155" spans="9:12">
      <c r="I155" s="150"/>
      <c r="J155" s="147"/>
      <c r="K155" s="116"/>
      <c r="L155" s="116"/>
    </row>
    <row r="156" spans="9:12">
      <c r="I156" s="150"/>
      <c r="J156" s="147"/>
      <c r="K156" s="116"/>
      <c r="L156" s="116"/>
    </row>
    <row r="157" spans="9:12">
      <c r="I157" s="150"/>
      <c r="J157" s="147"/>
      <c r="K157" s="116"/>
      <c r="L157" s="116"/>
    </row>
    <row r="158" spans="9:12">
      <c r="I158" s="150"/>
      <c r="J158" s="147"/>
      <c r="K158" s="116"/>
      <c r="L158" s="116"/>
    </row>
    <row r="159" spans="9:12">
      <c r="I159" s="150"/>
      <c r="J159" s="147"/>
      <c r="K159" s="116"/>
      <c r="L159" s="116"/>
    </row>
    <row r="160" spans="9:12">
      <c r="I160" s="150"/>
      <c r="J160" s="147"/>
      <c r="K160" s="116"/>
      <c r="L160" s="116"/>
    </row>
    <row r="161" spans="9:12">
      <c r="I161" s="150"/>
      <c r="J161" s="147"/>
      <c r="K161" s="116"/>
      <c r="L161" s="116"/>
    </row>
    <row r="162" spans="9:12">
      <c r="I162" s="150"/>
      <c r="J162" s="147"/>
      <c r="K162" s="116"/>
      <c r="L162" s="116"/>
    </row>
    <row r="163" spans="9:12">
      <c r="I163" s="150"/>
      <c r="J163" s="147"/>
      <c r="K163" s="116"/>
      <c r="L163" s="116"/>
    </row>
    <row r="164" spans="9:12">
      <c r="I164" s="150"/>
      <c r="J164" s="147"/>
      <c r="K164" s="116"/>
      <c r="L164" s="116"/>
    </row>
    <row r="165" spans="9:12">
      <c r="I165" s="150"/>
      <c r="J165" s="147"/>
      <c r="K165" s="116"/>
      <c r="L165" s="116"/>
    </row>
    <row r="166" spans="9:12">
      <c r="I166" s="150"/>
      <c r="J166" s="147"/>
      <c r="K166" s="116"/>
      <c r="L166" s="116"/>
    </row>
    <row r="167" spans="9:12">
      <c r="I167" s="150"/>
      <c r="J167" s="147"/>
      <c r="K167" s="116"/>
      <c r="L167" s="116"/>
    </row>
    <row r="168" spans="9:12">
      <c r="I168" s="150"/>
      <c r="J168" s="147"/>
      <c r="K168" s="116"/>
      <c r="L168" s="116"/>
    </row>
    <row r="169" spans="9:12">
      <c r="I169" s="150"/>
      <c r="J169" s="147"/>
      <c r="K169" s="116"/>
      <c r="L169" s="116"/>
    </row>
    <row r="170" spans="9:12">
      <c r="I170" s="150"/>
      <c r="J170" s="147"/>
      <c r="K170" s="116"/>
      <c r="L170" s="116"/>
    </row>
    <row r="171" spans="9:12">
      <c r="I171" s="150"/>
      <c r="J171" s="147"/>
      <c r="K171" s="116"/>
      <c r="L171" s="116"/>
    </row>
    <row r="172" spans="9:12">
      <c r="I172" s="150"/>
      <c r="J172" s="147"/>
      <c r="K172" s="116"/>
      <c r="L172" s="116"/>
    </row>
    <row r="173" spans="9:12">
      <c r="I173" s="150"/>
      <c r="J173" s="147"/>
      <c r="K173" s="116"/>
      <c r="L173" s="116"/>
    </row>
    <row r="174" spans="9:12">
      <c r="I174" s="150"/>
      <c r="J174" s="147"/>
      <c r="K174" s="116"/>
      <c r="L174" s="116"/>
    </row>
    <row r="175" spans="9:12">
      <c r="I175" s="150"/>
      <c r="J175" s="147"/>
      <c r="K175" s="116"/>
      <c r="L175" s="116"/>
    </row>
    <row r="176" spans="9:12">
      <c r="I176" s="150"/>
      <c r="J176" s="147"/>
      <c r="K176" s="116"/>
      <c r="L176" s="116"/>
    </row>
    <row r="177" spans="9:12">
      <c r="I177" s="150"/>
      <c r="J177" s="147"/>
      <c r="K177" s="116"/>
      <c r="L177" s="116"/>
    </row>
    <row r="178" spans="9:12">
      <c r="I178" s="150"/>
      <c r="J178" s="147"/>
      <c r="K178" s="116"/>
      <c r="L178" s="116"/>
    </row>
    <row r="179" spans="9:12">
      <c r="I179" s="150"/>
      <c r="J179" s="147"/>
      <c r="K179" s="116"/>
      <c r="L179" s="116"/>
    </row>
    <row r="180" spans="9:12">
      <c r="I180" s="150"/>
      <c r="J180" s="147"/>
      <c r="K180" s="116"/>
      <c r="L180" s="116"/>
    </row>
    <row r="181" spans="9:12">
      <c r="I181" s="150"/>
      <c r="J181" s="147"/>
      <c r="K181" s="116"/>
      <c r="L181" s="116"/>
    </row>
    <row r="182" spans="9:12">
      <c r="I182" s="150"/>
      <c r="J182" s="147"/>
      <c r="K182" s="116"/>
      <c r="L182" s="116"/>
    </row>
    <row r="183" spans="9:12">
      <c r="I183" s="150"/>
      <c r="J183" s="147"/>
      <c r="K183" s="116"/>
      <c r="L183" s="116"/>
    </row>
    <row r="184" spans="9:12">
      <c r="I184" s="150"/>
      <c r="J184" s="147"/>
      <c r="K184" s="116"/>
      <c r="L184" s="116"/>
    </row>
    <row r="185" spans="9:12">
      <c r="I185" s="150"/>
      <c r="J185" s="147"/>
      <c r="K185" s="116"/>
      <c r="L185" s="116"/>
    </row>
    <row r="186" spans="9:12">
      <c r="I186" s="150"/>
      <c r="J186" s="147"/>
      <c r="K186" s="116"/>
      <c r="L186" s="116"/>
    </row>
    <row r="187" spans="9:12">
      <c r="I187" s="150"/>
      <c r="J187" s="147"/>
      <c r="K187" s="116"/>
      <c r="L187" s="116"/>
    </row>
    <row r="188" spans="9:12">
      <c r="I188" s="150"/>
      <c r="J188" s="147"/>
      <c r="K188" s="116"/>
      <c r="L188" s="116"/>
    </row>
    <row r="189" spans="9:12">
      <c r="I189" s="150"/>
      <c r="J189" s="147"/>
      <c r="K189" s="116"/>
      <c r="L189" s="116"/>
    </row>
    <row r="190" spans="9:12">
      <c r="I190" s="150"/>
      <c r="J190" s="147"/>
      <c r="K190" s="116"/>
      <c r="L190" s="116"/>
    </row>
    <row r="191" spans="9:12">
      <c r="I191" s="150"/>
      <c r="J191" s="147"/>
      <c r="K191" s="116"/>
      <c r="L191" s="116"/>
    </row>
    <row r="192" spans="9:12">
      <c r="I192" s="150"/>
      <c r="J192" s="147"/>
      <c r="K192" s="116"/>
      <c r="L192" s="116"/>
    </row>
    <row r="193" spans="9:12">
      <c r="I193" s="150"/>
      <c r="J193" s="147"/>
      <c r="K193" s="116"/>
      <c r="L193" s="116"/>
    </row>
    <row r="194" spans="9:12">
      <c r="I194" s="150"/>
      <c r="J194" s="147"/>
      <c r="K194" s="116"/>
      <c r="L194" s="116"/>
    </row>
    <row r="195" spans="9:12">
      <c r="I195" s="150"/>
      <c r="J195" s="147"/>
      <c r="K195" s="116"/>
      <c r="L195" s="116"/>
    </row>
    <row r="196" spans="9:12">
      <c r="I196" s="150"/>
      <c r="J196" s="147"/>
      <c r="K196" s="116"/>
      <c r="L196" s="116"/>
    </row>
    <row r="197" spans="9:12">
      <c r="I197" s="150"/>
      <c r="J197" s="147"/>
      <c r="K197" s="116"/>
      <c r="L197" s="116"/>
    </row>
    <row r="198" spans="9:12">
      <c r="I198" s="150"/>
      <c r="J198" s="147"/>
      <c r="K198" s="116"/>
      <c r="L198" s="116"/>
    </row>
    <row r="199" spans="9:12">
      <c r="I199" s="150"/>
      <c r="J199" s="147"/>
      <c r="K199" s="116"/>
      <c r="L199" s="116"/>
    </row>
    <row r="200" spans="9:12">
      <c r="I200" s="150"/>
      <c r="J200" s="147"/>
      <c r="K200" s="116"/>
      <c r="L200" s="116"/>
    </row>
    <row r="201" spans="9:12">
      <c r="I201" s="150"/>
      <c r="J201" s="147"/>
      <c r="K201" s="116"/>
      <c r="L201" s="116"/>
    </row>
    <row r="202" spans="9:12">
      <c r="I202" s="150"/>
      <c r="J202" s="147"/>
      <c r="K202" s="116"/>
      <c r="L202" s="116"/>
    </row>
    <row r="203" spans="9:12">
      <c r="I203" s="150"/>
      <c r="J203" s="147"/>
      <c r="K203" s="116"/>
      <c r="L203" s="116"/>
    </row>
    <row r="204" spans="9:12">
      <c r="I204" s="150"/>
      <c r="J204" s="147"/>
      <c r="K204" s="116"/>
      <c r="L204" s="116"/>
    </row>
    <row r="205" spans="9:12">
      <c r="I205" s="150"/>
      <c r="J205" s="147"/>
      <c r="K205" s="116"/>
      <c r="L205" s="116"/>
    </row>
    <row r="206" spans="9:12">
      <c r="I206" s="150"/>
      <c r="J206" s="147"/>
      <c r="K206" s="116"/>
      <c r="L206" s="116"/>
    </row>
    <row r="207" spans="9:12">
      <c r="I207" s="150"/>
      <c r="J207" s="147"/>
      <c r="K207" s="116"/>
      <c r="L207" s="116"/>
    </row>
    <row r="208" spans="9:12">
      <c r="I208" s="150"/>
      <c r="J208" s="147"/>
      <c r="K208" s="116"/>
      <c r="L208" s="116"/>
    </row>
    <row r="209" spans="9:12">
      <c r="I209" s="150"/>
      <c r="J209" s="147"/>
      <c r="K209" s="116"/>
      <c r="L209" s="116"/>
    </row>
    <row r="210" spans="9:12">
      <c r="I210" s="150"/>
      <c r="J210" s="147"/>
      <c r="K210" s="116"/>
      <c r="L210" s="116"/>
    </row>
    <row r="211" spans="9:12">
      <c r="I211" s="150"/>
      <c r="J211" s="147"/>
      <c r="K211" s="116"/>
      <c r="L211" s="116"/>
    </row>
    <row r="212" spans="9:12">
      <c r="I212" s="150"/>
      <c r="J212" s="147"/>
      <c r="K212" s="116"/>
      <c r="L212" s="116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7632A-864D-4ADA-AB12-F47CD41E402E}">
  <dimension ref="A1:A17"/>
  <sheetViews>
    <sheetView zoomScaleNormal="100" workbookViewId="0">
      <selection activeCell="E29" sqref="E29"/>
    </sheetView>
  </sheetViews>
  <sheetFormatPr defaultRowHeight="14.5"/>
  <sheetData>
    <row r="1" spans="1:1" s="133" customFormat="1">
      <c r="A1" s="164" t="s">
        <v>156</v>
      </c>
    </row>
    <row r="2" spans="1:1" s="133" customFormat="1">
      <c r="A2" s="164"/>
    </row>
    <row r="3" spans="1:1">
      <c r="A3" t="s">
        <v>159</v>
      </c>
    </row>
    <row r="4" spans="1:1" s="133" customFormat="1"/>
    <row r="5" spans="1:1" s="133" customFormat="1">
      <c r="A5" s="133" t="s">
        <v>281</v>
      </c>
    </row>
    <row r="6" spans="1:1" s="133" customFormat="1"/>
    <row r="7" spans="1:1">
      <c r="A7" t="s">
        <v>155</v>
      </c>
    </row>
    <row r="8" spans="1:1" s="133" customFormat="1"/>
    <row r="9" spans="1:1">
      <c r="A9" t="s">
        <v>158</v>
      </c>
    </row>
    <row r="10" spans="1:1" s="133" customFormat="1"/>
    <row r="11" spans="1:1" s="133" customFormat="1">
      <c r="A11" s="133" t="s">
        <v>264</v>
      </c>
    </row>
    <row r="12" spans="1:1" s="133" customFormat="1"/>
    <row r="13" spans="1:1">
      <c r="A13" t="s">
        <v>157</v>
      </c>
    </row>
    <row r="14" spans="1:1" s="133" customFormat="1"/>
    <row r="15" spans="1:1" s="133" customFormat="1">
      <c r="A15" s="133" t="s">
        <v>283</v>
      </c>
    </row>
    <row r="16" spans="1:1" s="133" customFormat="1"/>
    <row r="17" spans="1:1">
      <c r="A17" t="s">
        <v>160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9"/>
  <sheetViews>
    <sheetView topLeftCell="A13" zoomScale="80" zoomScaleNormal="80" workbookViewId="0">
      <selection activeCell="A28" sqref="A28"/>
    </sheetView>
  </sheetViews>
  <sheetFormatPr defaultRowHeight="14.5"/>
  <cols>
    <col min="1" max="1" width="34.08984375" style="21" customWidth="1"/>
    <col min="2" max="2" width="21.453125" customWidth="1"/>
    <col min="3" max="3" width="18.7265625" customWidth="1"/>
    <col min="4" max="4" width="20.453125" customWidth="1"/>
    <col min="5" max="5" width="17.81640625" customWidth="1"/>
    <col min="6" max="6" width="16.1796875" customWidth="1"/>
    <col min="7" max="7" width="15.81640625" customWidth="1"/>
    <col min="8" max="9" width="14.81640625" customWidth="1"/>
    <col min="10" max="10" width="15.54296875" customWidth="1"/>
    <col min="11" max="11" width="19" customWidth="1"/>
    <col min="12" max="12" width="16.1796875" customWidth="1"/>
    <col min="13" max="14" width="14.54296875" customWidth="1"/>
    <col min="15" max="15" width="13.26953125" customWidth="1"/>
  </cols>
  <sheetData>
    <row r="1" spans="1:20">
      <c r="B1" s="1" t="s">
        <v>279</v>
      </c>
      <c r="C1" s="1"/>
      <c r="D1" s="46"/>
      <c r="E1" s="1"/>
      <c r="O1" s="1"/>
    </row>
    <row r="2" spans="1:20" ht="72.5">
      <c r="A2" s="24" t="s">
        <v>35</v>
      </c>
      <c r="B2" t="s">
        <v>0</v>
      </c>
      <c r="C2" s="117" t="s">
        <v>89</v>
      </c>
      <c r="D2" s="117" t="s">
        <v>34</v>
      </c>
      <c r="E2" s="47" t="s">
        <v>267</v>
      </c>
      <c r="F2" s="50" t="s">
        <v>31</v>
      </c>
      <c r="G2" s="52" t="s">
        <v>268</v>
      </c>
      <c r="H2" s="71" t="s">
        <v>269</v>
      </c>
      <c r="I2" s="72" t="s">
        <v>41</v>
      </c>
      <c r="J2" s="67" t="s">
        <v>9</v>
      </c>
      <c r="K2" s="71" t="s">
        <v>40</v>
      </c>
      <c r="L2" s="71" t="s">
        <v>41</v>
      </c>
      <c r="M2" s="67" t="s">
        <v>32</v>
      </c>
      <c r="N2" s="134" t="s">
        <v>76</v>
      </c>
      <c r="O2" s="115" t="s">
        <v>41</v>
      </c>
      <c r="P2" s="117" t="s">
        <v>74</v>
      </c>
      <c r="Q2" s="142" t="s">
        <v>75</v>
      </c>
      <c r="R2" s="71" t="s">
        <v>22</v>
      </c>
    </row>
    <row r="3" spans="1:20" ht="41.25" customHeight="1">
      <c r="B3" s="25">
        <v>601393.01399999997</v>
      </c>
      <c r="C3" s="91" t="s">
        <v>98</v>
      </c>
      <c r="D3" s="26">
        <v>9.8000000000000007</v>
      </c>
      <c r="E3" s="48">
        <v>4.5999999999999996</v>
      </c>
      <c r="F3" s="49">
        <v>1.2</v>
      </c>
      <c r="G3" s="51">
        <f>F3-E3</f>
        <v>-3.3999999999999995</v>
      </c>
      <c r="H3" s="74">
        <f>G3*0.99</f>
        <v>-3.3659999999999997</v>
      </c>
      <c r="I3" s="73">
        <f>$C$15+(H3-G3)</f>
        <v>0.13399999999999981</v>
      </c>
      <c r="J3" s="69">
        <f>E3</f>
        <v>4.5999999999999996</v>
      </c>
      <c r="K3" s="75">
        <f>J3*0.99</f>
        <v>4.5539999999999994</v>
      </c>
      <c r="L3" s="75">
        <f>J3-K3</f>
        <v>4.6000000000000263E-2</v>
      </c>
      <c r="M3" s="54" t="s">
        <v>13</v>
      </c>
      <c r="N3" s="76">
        <f>$C$18-$C$21</f>
        <v>-1.5822311709037611</v>
      </c>
      <c r="O3" s="76">
        <f>SQRT(($C$19^2)+($C$22^2))</f>
        <v>0.36055512754639896</v>
      </c>
      <c r="P3" s="76">
        <f>N3-H3</f>
        <v>1.7837688290962386</v>
      </c>
      <c r="Q3" s="73">
        <f>P3/K3</f>
        <v>0.39169276001234932</v>
      </c>
      <c r="R3" s="73">
        <f>Q3*(SQRT(((I3/H3)^2)+((O3/N3)^2)))</f>
        <v>9.0609847272311528E-2</v>
      </c>
      <c r="S3" s="40"/>
      <c r="T3" s="40"/>
    </row>
    <row r="4" spans="1:20">
      <c r="B4" s="25">
        <v>601393.01300000004</v>
      </c>
      <c r="C4" s="91" t="s">
        <v>99</v>
      </c>
      <c r="D4" s="26">
        <v>9.9</v>
      </c>
      <c r="E4" s="48">
        <v>6</v>
      </c>
      <c r="F4" s="49">
        <v>1.4</v>
      </c>
      <c r="G4" s="51">
        <f t="shared" ref="G4:G8" si="0">F4-E4</f>
        <v>-4.5999999999999996</v>
      </c>
      <c r="H4" s="74">
        <f t="shared" ref="H4:H8" si="1">G4*0.99</f>
        <v>-4.5539999999999994</v>
      </c>
      <c r="I4" s="73">
        <f t="shared" ref="I4:I8" si="2">$C$15+(H4-G4)</f>
        <v>0.14600000000000027</v>
      </c>
      <c r="J4" s="69">
        <f t="shared" ref="J4:J8" si="3">E4</f>
        <v>6</v>
      </c>
      <c r="K4" s="75">
        <f t="shared" ref="K4:K8" si="4">J4*0.99</f>
        <v>5.9399999999999995</v>
      </c>
      <c r="L4" s="75">
        <f t="shared" ref="L4:L8" si="5">J4-K4</f>
        <v>6.0000000000000497E-2</v>
      </c>
      <c r="M4" s="69"/>
      <c r="N4" s="140">
        <f t="shared" ref="N4:N8" si="6">$C$18-$C$21</f>
        <v>-1.5822311709037611</v>
      </c>
      <c r="O4" s="140">
        <f t="shared" ref="O4:O8" si="7">SQRT(($C$19^2)+($C$22^2))</f>
        <v>0.36055512754639896</v>
      </c>
      <c r="P4" s="76">
        <f t="shared" ref="P4:P8" si="8">N4-H4</f>
        <v>2.9717688290962383</v>
      </c>
      <c r="Q4" s="73">
        <f t="shared" ref="Q4:Q8" si="9">P4/K4</f>
        <v>0.50029778267613445</v>
      </c>
      <c r="R4" s="73">
        <f t="shared" ref="R4:R8" si="10">Q4*(SQRT(((I4/H4)^2)+((O4/N4)^2)))</f>
        <v>0.11512943559693159</v>
      </c>
      <c r="S4" s="40"/>
      <c r="T4" s="40"/>
    </row>
    <row r="5" spans="1:20">
      <c r="B5" s="25">
        <v>601393.01199999999</v>
      </c>
      <c r="C5" s="91" t="s">
        <v>100</v>
      </c>
      <c r="D5" s="26">
        <v>11.5</v>
      </c>
      <c r="E5" s="48">
        <v>6.7</v>
      </c>
      <c r="F5" s="49">
        <v>2</v>
      </c>
      <c r="G5" s="51">
        <f t="shared" si="0"/>
        <v>-4.7</v>
      </c>
      <c r="H5" s="74">
        <f t="shared" si="1"/>
        <v>-4.6530000000000005</v>
      </c>
      <c r="I5" s="73">
        <f t="shared" si="2"/>
        <v>0.14699999999999971</v>
      </c>
      <c r="J5" s="69">
        <f t="shared" si="3"/>
        <v>6.7</v>
      </c>
      <c r="K5" s="75">
        <f t="shared" si="4"/>
        <v>6.633</v>
      </c>
      <c r="L5" s="75">
        <f t="shared" si="5"/>
        <v>6.7000000000000171E-2</v>
      </c>
      <c r="M5" s="69"/>
      <c r="N5" s="140">
        <f t="shared" si="6"/>
        <v>-1.5822311709037611</v>
      </c>
      <c r="O5" s="140">
        <f t="shared" si="7"/>
        <v>0.36055512754639896</v>
      </c>
      <c r="P5" s="76">
        <f t="shared" si="8"/>
        <v>3.0707688290962394</v>
      </c>
      <c r="Q5" s="73">
        <f t="shared" si="9"/>
        <v>0.46295323821743395</v>
      </c>
      <c r="R5" s="73">
        <f t="shared" si="10"/>
        <v>0.10650572306768949</v>
      </c>
      <c r="S5" s="40"/>
      <c r="T5" s="40"/>
    </row>
    <row r="6" spans="1:20">
      <c r="B6" s="25">
        <v>601393.01100000006</v>
      </c>
      <c r="C6" s="91" t="s">
        <v>101</v>
      </c>
      <c r="D6" s="26">
        <v>11.8</v>
      </c>
      <c r="E6" s="48">
        <v>6</v>
      </c>
      <c r="F6" s="49">
        <v>2.5</v>
      </c>
      <c r="G6" s="51">
        <f t="shared" si="0"/>
        <v>-3.5</v>
      </c>
      <c r="H6" s="74">
        <f t="shared" si="1"/>
        <v>-3.4649999999999999</v>
      </c>
      <c r="I6" s="73">
        <f t="shared" si="2"/>
        <v>0.13500000000000015</v>
      </c>
      <c r="J6" s="69">
        <f t="shared" si="3"/>
        <v>6</v>
      </c>
      <c r="K6" s="75">
        <f t="shared" si="4"/>
        <v>5.9399999999999995</v>
      </c>
      <c r="L6" s="75">
        <f t="shared" si="5"/>
        <v>6.0000000000000497E-2</v>
      </c>
      <c r="M6" s="69"/>
      <c r="N6" s="140">
        <f t="shared" si="6"/>
        <v>-1.5822311709037611</v>
      </c>
      <c r="O6" s="140">
        <f t="shared" si="7"/>
        <v>0.36055512754639896</v>
      </c>
      <c r="P6" s="76">
        <f t="shared" si="8"/>
        <v>1.8827688290962388</v>
      </c>
      <c r="Q6" s="73">
        <f t="shared" si="9"/>
        <v>0.31696444934280116</v>
      </c>
      <c r="R6" s="73">
        <f t="shared" si="10"/>
        <v>7.3277209316737646E-2</v>
      </c>
      <c r="S6" s="40"/>
      <c r="T6" s="40"/>
    </row>
    <row r="7" spans="1:20">
      <c r="B7" s="25">
        <v>601393.01500000001</v>
      </c>
      <c r="C7" s="91" t="s">
        <v>102</v>
      </c>
      <c r="D7" s="26">
        <v>12.1</v>
      </c>
      <c r="E7" s="48">
        <v>6.8</v>
      </c>
      <c r="F7" s="49">
        <v>2.6</v>
      </c>
      <c r="G7" s="51">
        <f t="shared" si="0"/>
        <v>-4.1999999999999993</v>
      </c>
      <c r="H7" s="74">
        <f t="shared" si="1"/>
        <v>-4.1579999999999995</v>
      </c>
      <c r="I7" s="73">
        <f t="shared" si="2"/>
        <v>0.14199999999999982</v>
      </c>
      <c r="J7" s="69">
        <f t="shared" si="3"/>
        <v>6.8</v>
      </c>
      <c r="K7" s="75">
        <f t="shared" si="4"/>
        <v>6.7320000000000002</v>
      </c>
      <c r="L7" s="75">
        <f t="shared" si="5"/>
        <v>6.7999999999999616E-2</v>
      </c>
      <c r="M7" s="69"/>
      <c r="N7" s="140">
        <f t="shared" si="6"/>
        <v>-1.5822311709037611</v>
      </c>
      <c r="O7" s="140">
        <f t="shared" si="7"/>
        <v>0.36055512754639896</v>
      </c>
      <c r="P7" s="76">
        <f t="shared" si="8"/>
        <v>2.5757688290962384</v>
      </c>
      <c r="Q7" s="73">
        <f t="shared" si="9"/>
        <v>0.38261569059658918</v>
      </c>
      <c r="R7" s="73">
        <f t="shared" si="10"/>
        <v>8.816325557070824E-2</v>
      </c>
      <c r="S7" s="40"/>
      <c r="T7" s="40"/>
    </row>
    <row r="8" spans="1:20">
      <c r="B8" s="25">
        <v>601393.01599999995</v>
      </c>
      <c r="C8" s="91" t="s">
        <v>103</v>
      </c>
      <c r="D8" s="26">
        <v>10.199999999999999</v>
      </c>
      <c r="E8" s="48">
        <v>5.8</v>
      </c>
      <c r="F8" s="49">
        <v>1.4</v>
      </c>
      <c r="G8" s="51">
        <f t="shared" si="0"/>
        <v>-4.4000000000000004</v>
      </c>
      <c r="H8" s="74">
        <f t="shared" si="1"/>
        <v>-4.3559999999999999</v>
      </c>
      <c r="I8" s="73">
        <f t="shared" si="2"/>
        <v>0.14400000000000049</v>
      </c>
      <c r="J8" s="69">
        <f t="shared" si="3"/>
        <v>5.8</v>
      </c>
      <c r="K8" s="75">
        <f t="shared" si="4"/>
        <v>5.742</v>
      </c>
      <c r="L8" s="75">
        <f t="shared" si="5"/>
        <v>5.7999999999999829E-2</v>
      </c>
      <c r="M8" s="69"/>
      <c r="N8" s="140">
        <f t="shared" si="6"/>
        <v>-1.5822311709037611</v>
      </c>
      <c r="O8" s="140">
        <f t="shared" si="7"/>
        <v>0.36055512754639896</v>
      </c>
      <c r="P8" s="76">
        <f t="shared" si="8"/>
        <v>2.7737688290962388</v>
      </c>
      <c r="Q8" s="73">
        <f t="shared" si="9"/>
        <v>0.4830666717339322</v>
      </c>
      <c r="R8" s="73">
        <f t="shared" si="10"/>
        <v>0.11123237853684333</v>
      </c>
      <c r="S8" s="40"/>
    </row>
    <row r="9" spans="1:20">
      <c r="B9" s="41"/>
      <c r="C9" s="40"/>
      <c r="D9" s="40"/>
      <c r="E9" s="40"/>
      <c r="F9" s="40"/>
      <c r="G9" s="42"/>
      <c r="H9" s="43"/>
      <c r="I9" s="43"/>
      <c r="J9" s="43"/>
      <c r="K9" s="43"/>
      <c r="L9" s="43"/>
      <c r="M9" s="43"/>
      <c r="N9" s="43"/>
      <c r="O9" s="43"/>
      <c r="P9" s="44"/>
    </row>
    <row r="10" spans="1:20" ht="29">
      <c r="B10" s="1" t="s">
        <v>4</v>
      </c>
      <c r="F10" s="4" t="s">
        <v>9</v>
      </c>
      <c r="G10" s="107" t="s">
        <v>265</v>
      </c>
      <c r="H10" s="18"/>
      <c r="I10" s="18"/>
      <c r="J10" s="18"/>
      <c r="K10" s="18"/>
      <c r="L10" s="18"/>
      <c r="M10" s="18"/>
      <c r="N10" s="18"/>
      <c r="O10" s="18"/>
      <c r="P10" s="18"/>
    </row>
    <row r="11" spans="1:20">
      <c r="B11" s="21" t="s">
        <v>37</v>
      </c>
      <c r="C11" s="29">
        <f>AVERAGE(G3:G8)</f>
        <v>-4.1333333333333329</v>
      </c>
      <c r="F11" s="29">
        <f>AVERAGE(J3:J8)</f>
        <v>5.9833333333333334</v>
      </c>
      <c r="G11" s="29">
        <f>STDEV(J3:J8)</f>
        <v>0.79099093968684098</v>
      </c>
      <c r="H11" s="16"/>
      <c r="I11" s="16"/>
      <c r="J11" s="16"/>
      <c r="K11" s="16"/>
      <c r="L11" s="16"/>
      <c r="M11" s="16"/>
      <c r="N11" s="16"/>
      <c r="O11" s="16"/>
      <c r="P11" s="16"/>
    </row>
    <row r="12" spans="1:20" ht="16.5">
      <c r="A12" s="33" t="s">
        <v>82</v>
      </c>
      <c r="B12" s="135" t="s">
        <v>88</v>
      </c>
      <c r="C12" s="31">
        <f>C11*0.99</f>
        <v>-4.0919999999999996</v>
      </c>
      <c r="E12" s="1" t="s">
        <v>23</v>
      </c>
      <c r="F12" s="14">
        <f>F11*0.99</f>
        <v>5.9234999999999998</v>
      </c>
      <c r="G12" s="14">
        <f>G11+(F11-F12)</f>
        <v>0.8508242730201746</v>
      </c>
    </row>
    <row r="13" spans="1:20" s="6" customFormat="1">
      <c r="A13" s="133"/>
      <c r="B13" s="6" t="s">
        <v>26</v>
      </c>
      <c r="C13" s="29">
        <f>STDEV(G3:G8)</f>
        <v>0.55737479909542764</v>
      </c>
      <c r="E13" s="1"/>
      <c r="F13" s="16"/>
      <c r="G13" s="16"/>
    </row>
    <row r="14" spans="1:20">
      <c r="A14" s="133"/>
      <c r="B14" s="6" t="s">
        <v>27</v>
      </c>
      <c r="C14" s="29">
        <f>C11-C12</f>
        <v>-4.1333333333333222E-2</v>
      </c>
    </row>
    <row r="15" spans="1:20">
      <c r="A15" s="23" t="s">
        <v>282</v>
      </c>
      <c r="B15" s="6" t="s">
        <v>28</v>
      </c>
      <c r="C15" s="138">
        <v>0.1</v>
      </c>
      <c r="G15" s="10"/>
    </row>
    <row r="16" spans="1:20" ht="16.5">
      <c r="A16" s="158" t="s">
        <v>83</v>
      </c>
      <c r="B16" s="1" t="s">
        <v>25</v>
      </c>
      <c r="C16" s="31">
        <f>(SQRT(C15^2+C13^2))+(ABS(C14))</f>
        <v>0.60760770734885261</v>
      </c>
      <c r="G16" s="9"/>
    </row>
    <row r="17" spans="1:7" s="133" customFormat="1">
      <c r="B17" s="135"/>
      <c r="C17" s="138"/>
      <c r="G17" s="141"/>
    </row>
    <row r="18" spans="1:7" s="133" customFormat="1" ht="16.5">
      <c r="A18" s="33" t="s">
        <v>84</v>
      </c>
      <c r="B18" s="133" t="s">
        <v>61</v>
      </c>
      <c r="C18" s="113">
        <v>-0.4</v>
      </c>
      <c r="G18" s="141"/>
    </row>
    <row r="19" spans="1:7" s="133" customFormat="1">
      <c r="A19" s="23" t="s">
        <v>66</v>
      </c>
      <c r="B19" s="133" t="s">
        <v>41</v>
      </c>
      <c r="C19" s="113">
        <v>0.2</v>
      </c>
      <c r="G19" s="141"/>
    </row>
    <row r="20" spans="1:7">
      <c r="A20" s="133"/>
      <c r="B20" s="135"/>
      <c r="C20" s="138"/>
      <c r="G20" s="9"/>
    </row>
    <row r="21" spans="1:7" s="21" customFormat="1">
      <c r="A21" s="33" t="s">
        <v>81</v>
      </c>
      <c r="B21" s="133" t="s">
        <v>70</v>
      </c>
      <c r="C21" s="113">
        <f>0-((-0.6*C24)-0.3)</f>
        <v>1.182231170903761</v>
      </c>
      <c r="G21" s="9"/>
    </row>
    <row r="22" spans="1:7" s="21" customFormat="1">
      <c r="A22" s="23" t="s">
        <v>67</v>
      </c>
      <c r="B22" s="133" t="s">
        <v>41</v>
      </c>
      <c r="C22" s="113">
        <v>0.3</v>
      </c>
      <c r="G22" s="9"/>
    </row>
    <row r="23" spans="1:7" s="21" customFormat="1">
      <c r="A23" s="133"/>
      <c r="G23" s="9"/>
    </row>
    <row r="24" spans="1:7">
      <c r="A24" s="33" t="s">
        <v>30</v>
      </c>
      <c r="B24" s="21" t="s">
        <v>36</v>
      </c>
      <c r="C24" s="30">
        <v>1.4703852848396015</v>
      </c>
      <c r="G24" s="9"/>
    </row>
    <row r="25" spans="1:7">
      <c r="A25" s="23" t="s">
        <v>68</v>
      </c>
      <c r="B25" s="21" t="s">
        <v>22</v>
      </c>
      <c r="C25" s="31">
        <v>0.11088602343684822</v>
      </c>
      <c r="G25" s="9"/>
    </row>
    <row r="26" spans="1:7">
      <c r="A26" s="23"/>
      <c r="B26" s="21"/>
      <c r="C26" s="16"/>
      <c r="G26" s="9"/>
    </row>
    <row r="27" spans="1:7">
      <c r="A27" s="23"/>
      <c r="B27" s="141"/>
      <c r="C27" s="139"/>
      <c r="G27" s="9"/>
    </row>
    <row r="28" spans="1:7">
      <c r="A28" s="33" t="s">
        <v>29</v>
      </c>
      <c r="B28" s="111" t="s">
        <v>10</v>
      </c>
      <c r="C28" s="13">
        <f>(C12-C18)+C21</f>
        <v>-2.509768829096239</v>
      </c>
      <c r="G28" s="9"/>
    </row>
    <row r="29" spans="1:7">
      <c r="A29" s="33"/>
      <c r="B29" s="111" t="s">
        <v>41</v>
      </c>
      <c r="C29" s="13">
        <f>SQRT(C16^2+C19^2+C22^2)</f>
        <v>0.70653175868444085</v>
      </c>
      <c r="G29" s="9"/>
    </row>
    <row r="30" spans="1:7">
      <c r="A30" s="33"/>
      <c r="B30" s="111"/>
      <c r="C30" s="138"/>
      <c r="G30" s="9"/>
    </row>
    <row r="31" spans="1:7">
      <c r="A31" s="33" t="s">
        <v>85</v>
      </c>
      <c r="B31" s="135" t="s">
        <v>11</v>
      </c>
      <c r="C31" s="13">
        <f>C28/C24</f>
        <v>-1.7068783637684593</v>
      </c>
      <c r="G31" s="9"/>
    </row>
    <row r="32" spans="1:7">
      <c r="A32" s="23"/>
      <c r="B32" s="135" t="s">
        <v>69</v>
      </c>
      <c r="C32" s="13">
        <f>ABS(C31*(SQRT((C29/C28)^2)+((C25/C24)^2)))</f>
        <v>0.49021510720927608</v>
      </c>
      <c r="G32" s="9"/>
    </row>
    <row r="33" spans="1:11">
      <c r="A33" s="33"/>
      <c r="B33" s="111"/>
      <c r="C33" s="138"/>
      <c r="D33" s="9"/>
      <c r="G33" s="9"/>
    </row>
    <row r="34" spans="1:11">
      <c r="A34" s="33"/>
      <c r="B34" s="111"/>
      <c r="C34" s="138"/>
      <c r="D34" s="9"/>
      <c r="G34" s="9"/>
    </row>
    <row r="35" spans="1:11">
      <c r="A35" s="33"/>
      <c r="B35" s="111"/>
      <c r="C35" s="138"/>
      <c r="G35" s="9"/>
    </row>
    <row r="36" spans="1:11" s="21" customFormat="1">
      <c r="A36" s="33"/>
      <c r="B36" s="111"/>
      <c r="C36" s="138"/>
      <c r="G36" s="9"/>
    </row>
    <row r="37" spans="1:11">
      <c r="B37" s="111"/>
      <c r="C37" s="138"/>
      <c r="D37" s="21"/>
      <c r="E37" s="21"/>
      <c r="F37" s="21"/>
      <c r="G37" s="9"/>
      <c r="H37" s="21"/>
      <c r="I37" s="21"/>
      <c r="J37" s="21"/>
      <c r="K37" s="21"/>
    </row>
    <row r="38" spans="1:11">
      <c r="A38" s="22"/>
      <c r="B38" s="111"/>
      <c r="C38" s="138"/>
      <c r="D38" s="21"/>
      <c r="E38" s="21"/>
      <c r="F38" s="21"/>
      <c r="G38" s="9"/>
      <c r="H38" s="21"/>
      <c r="I38" s="21"/>
      <c r="J38" s="21"/>
      <c r="K38" s="21"/>
    </row>
    <row r="39" spans="1:11">
      <c r="A39" s="22"/>
      <c r="B39" s="111"/>
      <c r="C39" s="138"/>
      <c r="D39" s="21"/>
      <c r="E39" s="21"/>
      <c r="F39" s="21"/>
      <c r="G39" s="9"/>
      <c r="H39" s="21"/>
      <c r="I39" s="21"/>
      <c r="J39" s="21"/>
      <c r="K39" s="21"/>
    </row>
    <row r="40" spans="1:11">
      <c r="A40" s="55"/>
      <c r="B40" s="60"/>
      <c r="C40" s="60"/>
      <c r="D40" s="60"/>
      <c r="E40" s="60"/>
      <c r="F40" s="60"/>
      <c r="G40" s="60"/>
      <c r="H40" s="60"/>
      <c r="I40" s="60"/>
      <c r="J40" s="60"/>
      <c r="K40" s="60"/>
    </row>
    <row r="41" spans="1:11">
      <c r="A41" s="60"/>
      <c r="B41" s="60"/>
      <c r="C41" s="60"/>
      <c r="D41" s="60"/>
      <c r="E41" s="60"/>
      <c r="F41" s="60"/>
      <c r="G41" s="60"/>
      <c r="H41" s="60"/>
      <c r="I41" s="60"/>
      <c r="J41" s="61"/>
      <c r="K41" s="61"/>
    </row>
    <row r="42" spans="1:11">
      <c r="A42" s="60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>
      <c r="A43" s="60"/>
      <c r="B43" s="62"/>
      <c r="C43" s="64"/>
      <c r="D43" s="60"/>
      <c r="E43" s="60"/>
      <c r="F43" s="64"/>
      <c r="G43" s="63"/>
      <c r="H43" s="64"/>
      <c r="I43" s="63"/>
      <c r="J43" s="60"/>
      <c r="K43" s="60"/>
    </row>
    <row r="44" spans="1:11">
      <c r="A44" s="60"/>
      <c r="B44" s="62"/>
      <c r="C44" s="64"/>
      <c r="D44" s="60"/>
      <c r="E44" s="60"/>
      <c r="F44" s="64"/>
      <c r="G44" s="63"/>
      <c r="H44" s="64"/>
      <c r="I44" s="63"/>
      <c r="J44" s="60"/>
      <c r="K44" s="60"/>
    </row>
    <row r="45" spans="1:11">
      <c r="A45" s="60"/>
      <c r="B45" s="62"/>
      <c r="C45" s="64"/>
      <c r="D45" s="60"/>
      <c r="E45" s="60"/>
      <c r="F45" s="64"/>
      <c r="G45" s="63"/>
      <c r="H45" s="64"/>
      <c r="I45" s="63"/>
      <c r="J45" s="60"/>
      <c r="K45" s="60"/>
    </row>
    <row r="46" spans="1:11">
      <c r="A46" s="60"/>
      <c r="B46" s="62"/>
      <c r="C46" s="64"/>
      <c r="D46" s="60"/>
      <c r="E46" s="60"/>
      <c r="F46" s="64"/>
      <c r="G46" s="63"/>
      <c r="H46" s="64"/>
      <c r="I46" s="63"/>
      <c r="J46" s="60"/>
      <c r="K46" s="60"/>
    </row>
    <row r="47" spans="1:11">
      <c r="A47" s="60"/>
      <c r="B47" s="62"/>
      <c r="C47" s="64"/>
      <c r="D47" s="60"/>
      <c r="E47" s="60"/>
      <c r="F47" s="64"/>
      <c r="G47" s="63"/>
      <c r="H47" s="64"/>
      <c r="I47" s="63"/>
      <c r="J47" s="60"/>
      <c r="K47" s="60"/>
    </row>
    <row r="48" spans="1:11">
      <c r="A48" s="60"/>
      <c r="B48" s="62"/>
      <c r="C48" s="64"/>
      <c r="D48" s="60"/>
      <c r="E48" s="60"/>
      <c r="F48" s="64"/>
      <c r="G48" s="63"/>
      <c r="H48" s="64"/>
      <c r="I48" s="63"/>
      <c r="J48" s="60"/>
      <c r="K48" s="60"/>
    </row>
    <row r="49" spans="1:1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4"/>
  <sheetViews>
    <sheetView zoomScale="90" zoomScaleNormal="90" workbookViewId="0">
      <selection activeCell="A16" sqref="A16"/>
    </sheetView>
  </sheetViews>
  <sheetFormatPr defaultRowHeight="14.5"/>
  <cols>
    <col min="1" max="1" width="33.26953125" style="21" customWidth="1"/>
    <col min="2" max="2" width="21.453125" customWidth="1"/>
    <col min="3" max="3" width="17.26953125" customWidth="1"/>
    <col min="4" max="4" width="20.453125" customWidth="1"/>
    <col min="5" max="5" width="13.1796875" customWidth="1"/>
    <col min="6" max="6" width="14.26953125" customWidth="1"/>
    <col min="7" max="7" width="14" customWidth="1"/>
    <col min="8" max="9" width="14.81640625" customWidth="1"/>
    <col min="10" max="10" width="15.54296875" customWidth="1"/>
    <col min="12" max="12" width="16.1796875" customWidth="1"/>
    <col min="13" max="13" width="14.54296875" customWidth="1"/>
    <col min="14" max="14" width="13.26953125" customWidth="1"/>
  </cols>
  <sheetData>
    <row r="1" spans="1:18">
      <c r="B1" s="1" t="s">
        <v>278</v>
      </c>
      <c r="C1" s="1"/>
    </row>
    <row r="2" spans="1:18" ht="87">
      <c r="A2" s="24" t="s">
        <v>35</v>
      </c>
      <c r="B2" t="s">
        <v>0</v>
      </c>
      <c r="C2" s="117" t="s">
        <v>91</v>
      </c>
      <c r="D2" s="117" t="s">
        <v>34</v>
      </c>
      <c r="E2" s="65" t="s">
        <v>267</v>
      </c>
      <c r="F2" s="67" t="s">
        <v>31</v>
      </c>
      <c r="G2" s="58" t="s">
        <v>268</v>
      </c>
      <c r="H2" s="71" t="s">
        <v>269</v>
      </c>
      <c r="I2" s="72" t="s">
        <v>41</v>
      </c>
      <c r="J2" s="67" t="s">
        <v>9</v>
      </c>
      <c r="K2" s="71" t="s">
        <v>40</v>
      </c>
      <c r="L2" s="71" t="s">
        <v>41</v>
      </c>
      <c r="M2" s="67" t="s">
        <v>32</v>
      </c>
      <c r="N2" s="134" t="s">
        <v>76</v>
      </c>
      <c r="O2" s="115" t="s">
        <v>41</v>
      </c>
      <c r="P2" s="117" t="s">
        <v>74</v>
      </c>
      <c r="Q2" s="142" t="s">
        <v>75</v>
      </c>
      <c r="R2" s="71" t="s">
        <v>22</v>
      </c>
    </row>
    <row r="3" spans="1:18">
      <c r="B3" s="68">
        <v>601493.01300000004</v>
      </c>
      <c r="C3" s="91" t="s">
        <v>104</v>
      </c>
      <c r="D3" s="68">
        <v>7.9</v>
      </c>
      <c r="E3" s="68">
        <v>3.1</v>
      </c>
      <c r="F3" s="68">
        <v>0.5</v>
      </c>
      <c r="G3" s="70">
        <f>F3-E3</f>
        <v>-2.6</v>
      </c>
      <c r="H3" s="74">
        <f>G3*0.99</f>
        <v>-2.5739999999999998</v>
      </c>
      <c r="I3" s="73">
        <f>$C$16+(H3-G3)</f>
        <v>0.12600000000000025</v>
      </c>
      <c r="J3" s="69">
        <f>E3</f>
        <v>3.1</v>
      </c>
      <c r="K3" s="75">
        <f>J3*0.99</f>
        <v>3.069</v>
      </c>
      <c r="L3" s="75">
        <f>J3-K3</f>
        <v>3.1000000000000139E-2</v>
      </c>
      <c r="M3" s="69"/>
      <c r="N3" s="140">
        <f>$C$19-$C$22</f>
        <v>-1.4518496906777418</v>
      </c>
      <c r="O3" s="140">
        <f>SQRT(($C$20^2)+($C$23^2))</f>
        <v>0.36055512754639896</v>
      </c>
      <c r="P3" s="76">
        <f>N3-H3</f>
        <v>1.122150309322258</v>
      </c>
      <c r="Q3" s="73">
        <f>P3/K3</f>
        <v>0.36564037449405606</v>
      </c>
      <c r="R3" s="73">
        <f>Q3*(SQRT(((I3/H3)^2)+((O3/N3)^2)))</f>
        <v>9.2551018604755592E-2</v>
      </c>
    </row>
    <row r="4" spans="1:18" ht="34.5" customHeight="1">
      <c r="B4" s="68">
        <v>601493.01199999999</v>
      </c>
      <c r="C4" s="91" t="s">
        <v>105</v>
      </c>
      <c r="D4" s="68">
        <v>7.7</v>
      </c>
      <c r="E4" s="68">
        <v>3.8</v>
      </c>
      <c r="F4" s="68">
        <v>0.9</v>
      </c>
      <c r="G4" s="70">
        <f t="shared" ref="G4:G9" si="0">F4-E4</f>
        <v>-2.9</v>
      </c>
      <c r="H4" s="74">
        <f t="shared" ref="H4:H9" si="1">G4*0.99</f>
        <v>-2.871</v>
      </c>
      <c r="I4" s="73">
        <f t="shared" ref="I4:I9" si="2">$C$16+(H4-G4)</f>
        <v>0.12899999999999992</v>
      </c>
      <c r="J4" s="69">
        <f t="shared" ref="J4:J9" si="3">E4</f>
        <v>3.8</v>
      </c>
      <c r="K4" s="75">
        <f t="shared" ref="K4:K9" si="4">J4*0.99</f>
        <v>3.762</v>
      </c>
      <c r="L4" s="75">
        <f t="shared" ref="L4:L9" si="5">J4-K4</f>
        <v>3.7999999999999812E-2</v>
      </c>
      <c r="M4" s="54" t="s">
        <v>14</v>
      </c>
      <c r="N4" s="140">
        <f t="shared" ref="N4:N9" si="6">$C$19-$C$22</f>
        <v>-1.4518496906777418</v>
      </c>
      <c r="O4" s="140">
        <f t="shared" ref="O4:O9" si="7">SQRT(($C$20^2)+($C$23^2))</f>
        <v>0.36055512754639896</v>
      </c>
      <c r="P4" s="76">
        <f t="shared" ref="P4:P9" si="8">N4-H4</f>
        <v>1.4191503093222582</v>
      </c>
      <c r="Q4" s="73">
        <f t="shared" ref="Q4:Q9" si="9">P4/K4</f>
        <v>0.3772329370872563</v>
      </c>
      <c r="R4" s="73">
        <f t="shared" ref="R4:R9" si="10">Q4*(SQRT(((I4/H4)^2)+((O4/N4)^2)))</f>
        <v>9.5203756075433535E-2</v>
      </c>
    </row>
    <row r="5" spans="1:18">
      <c r="B5" s="68">
        <v>601493.01100000006</v>
      </c>
      <c r="C5" s="91" t="s">
        <v>106</v>
      </c>
      <c r="D5" s="68">
        <v>8.8000000000000007</v>
      </c>
      <c r="E5" s="68">
        <v>4.3</v>
      </c>
      <c r="F5" s="68">
        <v>1.2</v>
      </c>
      <c r="G5" s="70">
        <f t="shared" si="0"/>
        <v>-3.0999999999999996</v>
      </c>
      <c r="H5" s="74">
        <f t="shared" si="1"/>
        <v>-3.0689999999999995</v>
      </c>
      <c r="I5" s="73">
        <f t="shared" si="2"/>
        <v>0.13100000000000014</v>
      </c>
      <c r="J5" s="69">
        <f t="shared" si="3"/>
        <v>4.3</v>
      </c>
      <c r="K5" s="75">
        <f t="shared" si="4"/>
        <v>4.2569999999999997</v>
      </c>
      <c r="L5" s="75">
        <f t="shared" si="5"/>
        <v>4.3000000000000149E-2</v>
      </c>
      <c r="M5" s="69"/>
      <c r="N5" s="140">
        <f t="shared" si="6"/>
        <v>-1.4518496906777418</v>
      </c>
      <c r="O5" s="140">
        <f t="shared" si="7"/>
        <v>0.36055512754639896</v>
      </c>
      <c r="P5" s="76">
        <f t="shared" si="8"/>
        <v>1.6171503093222577</v>
      </c>
      <c r="Q5" s="73">
        <f t="shared" si="9"/>
        <v>0.37988026998408686</v>
      </c>
      <c r="R5" s="73">
        <f t="shared" si="10"/>
        <v>9.5723577077893099E-2</v>
      </c>
    </row>
    <row r="6" spans="1:18">
      <c r="B6" s="77">
        <v>601493.01</v>
      </c>
      <c r="C6" s="77" t="s">
        <v>107</v>
      </c>
      <c r="D6" s="68">
        <v>9.3000000000000007</v>
      </c>
      <c r="E6" s="68">
        <v>4.8</v>
      </c>
      <c r="F6" s="68">
        <v>1.4</v>
      </c>
      <c r="G6" s="70">
        <f t="shared" si="0"/>
        <v>-3.4</v>
      </c>
      <c r="H6" s="74">
        <f t="shared" si="1"/>
        <v>-3.3660000000000001</v>
      </c>
      <c r="I6" s="73">
        <f t="shared" si="2"/>
        <v>0.13399999999999981</v>
      </c>
      <c r="J6" s="69">
        <f t="shared" si="3"/>
        <v>4.8</v>
      </c>
      <c r="K6" s="75">
        <f t="shared" si="4"/>
        <v>4.7519999999999998</v>
      </c>
      <c r="L6" s="75">
        <f t="shared" si="5"/>
        <v>4.8000000000000043E-2</v>
      </c>
      <c r="M6" s="69"/>
      <c r="N6" s="140">
        <f t="shared" si="6"/>
        <v>-1.4518496906777418</v>
      </c>
      <c r="O6" s="140">
        <f t="shared" si="7"/>
        <v>0.36055512754639896</v>
      </c>
      <c r="P6" s="76">
        <f t="shared" si="8"/>
        <v>1.9141503093222583</v>
      </c>
      <c r="Q6" s="73">
        <f t="shared" si="9"/>
        <v>0.40280940852741126</v>
      </c>
      <c r="R6" s="73">
        <f t="shared" si="10"/>
        <v>0.10131159545461185</v>
      </c>
    </row>
    <row r="7" spans="1:18">
      <c r="B7" s="68">
        <v>601493.00899999996</v>
      </c>
      <c r="C7" s="91" t="s">
        <v>108</v>
      </c>
      <c r="D7" s="68">
        <v>10.6</v>
      </c>
      <c r="E7" s="68">
        <v>5.0999999999999996</v>
      </c>
      <c r="F7" s="68">
        <v>1.6</v>
      </c>
      <c r="G7" s="70">
        <f t="shared" si="0"/>
        <v>-3.4999999999999996</v>
      </c>
      <c r="H7" s="74">
        <f t="shared" si="1"/>
        <v>-3.4649999999999994</v>
      </c>
      <c r="I7" s="73">
        <f t="shared" si="2"/>
        <v>0.13500000000000015</v>
      </c>
      <c r="J7" s="69">
        <f t="shared" si="3"/>
        <v>5.0999999999999996</v>
      </c>
      <c r="K7" s="75">
        <f t="shared" si="4"/>
        <v>5.0489999999999995</v>
      </c>
      <c r="L7" s="75">
        <f t="shared" si="5"/>
        <v>5.1000000000000156E-2</v>
      </c>
      <c r="M7" s="69"/>
      <c r="N7" s="140">
        <f t="shared" si="6"/>
        <v>-1.4518496906777418</v>
      </c>
      <c r="O7" s="140">
        <f t="shared" si="7"/>
        <v>0.36055512754639896</v>
      </c>
      <c r="P7" s="76">
        <f t="shared" si="8"/>
        <v>2.0131503093222576</v>
      </c>
      <c r="Q7" s="73">
        <f t="shared" si="9"/>
        <v>0.39872258057481835</v>
      </c>
      <c r="R7" s="73">
        <f t="shared" si="10"/>
        <v>0.10023069451957724</v>
      </c>
    </row>
    <row r="8" spans="1:18">
      <c r="B8" s="68">
        <v>601493.01399999997</v>
      </c>
      <c r="C8" s="91" t="s">
        <v>109</v>
      </c>
      <c r="D8" s="68">
        <v>8.8000000000000007</v>
      </c>
      <c r="E8" s="68">
        <v>4.4000000000000004</v>
      </c>
      <c r="F8" s="68">
        <v>1.2</v>
      </c>
      <c r="G8" s="70">
        <f t="shared" si="0"/>
        <v>-3.2</v>
      </c>
      <c r="H8" s="74">
        <f t="shared" si="1"/>
        <v>-3.1680000000000001</v>
      </c>
      <c r="I8" s="73">
        <f t="shared" si="2"/>
        <v>0.13200000000000003</v>
      </c>
      <c r="J8" s="69">
        <f t="shared" si="3"/>
        <v>4.4000000000000004</v>
      </c>
      <c r="K8" s="75">
        <f t="shared" si="4"/>
        <v>4.3559999999999999</v>
      </c>
      <c r="L8" s="75">
        <f t="shared" si="5"/>
        <v>4.4000000000000483E-2</v>
      </c>
      <c r="M8" s="69"/>
      <c r="N8" s="140">
        <f t="shared" si="6"/>
        <v>-1.4518496906777418</v>
      </c>
      <c r="O8" s="140">
        <f t="shared" si="7"/>
        <v>0.36055512754639896</v>
      </c>
      <c r="P8" s="76">
        <f t="shared" si="8"/>
        <v>1.7161503093222583</v>
      </c>
      <c r="Q8" s="73">
        <f t="shared" si="9"/>
        <v>0.39397390021172141</v>
      </c>
      <c r="R8" s="73">
        <f t="shared" si="10"/>
        <v>9.9207772577889208E-2</v>
      </c>
    </row>
    <row r="9" spans="1:18">
      <c r="B9" s="68">
        <v>601493.01500000001</v>
      </c>
      <c r="C9" s="91" t="s">
        <v>110</v>
      </c>
      <c r="D9" s="68">
        <v>8.6999999999999993</v>
      </c>
      <c r="E9" s="68">
        <v>4.2</v>
      </c>
      <c r="F9" s="68">
        <v>1</v>
      </c>
      <c r="G9" s="70">
        <f t="shared" si="0"/>
        <v>-3.2</v>
      </c>
      <c r="H9" s="74">
        <f t="shared" si="1"/>
        <v>-3.1680000000000001</v>
      </c>
      <c r="I9" s="73">
        <f t="shared" si="2"/>
        <v>0.13200000000000003</v>
      </c>
      <c r="J9" s="69">
        <f t="shared" si="3"/>
        <v>4.2</v>
      </c>
      <c r="K9" s="75">
        <f t="shared" si="4"/>
        <v>4.1580000000000004</v>
      </c>
      <c r="L9" s="75">
        <f t="shared" si="5"/>
        <v>4.1999999999999815E-2</v>
      </c>
      <c r="M9" s="69"/>
      <c r="N9" s="140">
        <f t="shared" si="6"/>
        <v>-1.4518496906777418</v>
      </c>
      <c r="O9" s="140">
        <f t="shared" si="7"/>
        <v>0.36055512754639896</v>
      </c>
      <c r="P9" s="76">
        <f t="shared" si="8"/>
        <v>1.7161503093222583</v>
      </c>
      <c r="Q9" s="73">
        <f t="shared" si="9"/>
        <v>0.41273456212656523</v>
      </c>
      <c r="R9" s="73">
        <f t="shared" si="10"/>
        <v>0.10393195222445535</v>
      </c>
    </row>
    <row r="10" spans="1:18">
      <c r="G10" s="4"/>
      <c r="H10" s="4"/>
      <c r="I10" s="4"/>
      <c r="J10" s="4"/>
      <c r="K10" s="4"/>
      <c r="L10" s="5"/>
    </row>
    <row r="11" spans="1:18" ht="29">
      <c r="B11" s="1" t="s">
        <v>4</v>
      </c>
      <c r="E11" s="6"/>
      <c r="F11" s="4" t="s">
        <v>9</v>
      </c>
      <c r="G11" s="107" t="s">
        <v>265</v>
      </c>
      <c r="H11" s="18"/>
      <c r="I11" s="18"/>
      <c r="J11" s="18"/>
      <c r="K11" s="18"/>
      <c r="L11" s="18"/>
      <c r="M11" s="18"/>
      <c r="N11" s="18"/>
      <c r="O11" s="18"/>
      <c r="P11" s="18"/>
      <c r="Q11" s="9"/>
    </row>
    <row r="12" spans="1:18">
      <c r="B12" s="21" t="s">
        <v>37</v>
      </c>
      <c r="C12" s="29">
        <f>AVERAGE(G3:G9)</f>
        <v>-3.1285714285714286</v>
      </c>
      <c r="E12" s="6"/>
      <c r="F12" s="29">
        <f>AVERAGE(J3:J9)</f>
        <v>4.2428571428571429</v>
      </c>
      <c r="G12" s="29">
        <f>STDEV(J3:J9)</f>
        <v>0.65538066001661388</v>
      </c>
      <c r="H12" s="16"/>
      <c r="I12" s="16"/>
      <c r="J12" s="16"/>
      <c r="K12" s="16"/>
      <c r="L12" s="16"/>
      <c r="M12" s="16"/>
      <c r="N12" s="16"/>
      <c r="O12" s="16"/>
      <c r="P12" s="16"/>
      <c r="Q12" s="9"/>
    </row>
    <row r="13" spans="1:18" ht="16.5">
      <c r="A13" s="33" t="s">
        <v>82</v>
      </c>
      <c r="B13" s="135" t="s">
        <v>88</v>
      </c>
      <c r="C13" s="31">
        <f>C12*0.99</f>
        <v>-3.0972857142857144</v>
      </c>
      <c r="E13" s="1" t="s">
        <v>23</v>
      </c>
      <c r="F13" s="14">
        <f>F12*0.99</f>
        <v>4.2004285714285716</v>
      </c>
      <c r="G13" s="14">
        <f>G12+(F12-F13)</f>
        <v>0.69780923144518514</v>
      </c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8" s="6" customFormat="1">
      <c r="A14" s="133"/>
      <c r="B14" s="6" t="s">
        <v>26</v>
      </c>
      <c r="C14" s="29">
        <f>STDEV(G3:G9)</f>
        <v>0.30394235042348461</v>
      </c>
      <c r="E14" s="1"/>
      <c r="F14" s="16"/>
      <c r="G14" s="16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18">
      <c r="A15" s="133"/>
      <c r="B15" s="6" t="s">
        <v>27</v>
      </c>
      <c r="C15" s="29">
        <f>C12-C13</f>
        <v>-3.1285714285714139E-2</v>
      </c>
      <c r="F15" s="1"/>
    </row>
    <row r="16" spans="1:18">
      <c r="A16" s="23" t="s">
        <v>282</v>
      </c>
      <c r="B16" s="6" t="s">
        <v>28</v>
      </c>
      <c r="C16" s="138">
        <v>0.1</v>
      </c>
      <c r="F16" s="6"/>
    </row>
    <row r="17" spans="1:6" ht="16.5">
      <c r="A17" s="158" t="s">
        <v>83</v>
      </c>
      <c r="B17" s="1" t="s">
        <v>25</v>
      </c>
      <c r="C17" s="31">
        <f>(SQRT(C16^2+C14^2))+ABS(C15)</f>
        <v>0.35125595099680623</v>
      </c>
    </row>
    <row r="18" spans="1:6" s="133" customFormat="1">
      <c r="B18" s="135"/>
      <c r="C18" s="138"/>
    </row>
    <row r="19" spans="1:6" s="133" customFormat="1" ht="16.5">
      <c r="A19" s="33" t="s">
        <v>84</v>
      </c>
      <c r="B19" s="133" t="s">
        <v>61</v>
      </c>
      <c r="C19" s="113">
        <v>-0.4</v>
      </c>
    </row>
    <row r="20" spans="1:6" s="133" customFormat="1">
      <c r="A20" s="23" t="s">
        <v>66</v>
      </c>
      <c r="B20" s="133" t="s">
        <v>41</v>
      </c>
      <c r="C20" s="113">
        <v>0.2</v>
      </c>
    </row>
    <row r="21" spans="1:6" s="21" customFormat="1">
      <c r="A21" s="133"/>
      <c r="B21" s="135"/>
      <c r="C21" s="138"/>
    </row>
    <row r="22" spans="1:6" s="21" customFormat="1">
      <c r="A22" s="33" t="s">
        <v>81</v>
      </c>
      <c r="B22" s="133" t="s">
        <v>70</v>
      </c>
      <c r="C22" s="113">
        <f>0-((-0.6*C25)-0.3)</f>
        <v>1.0518496906777417</v>
      </c>
    </row>
    <row r="23" spans="1:6" s="21" customFormat="1">
      <c r="A23" s="23" t="s">
        <v>67</v>
      </c>
      <c r="B23" s="133" t="s">
        <v>41</v>
      </c>
      <c r="C23" s="113">
        <v>0.3</v>
      </c>
    </row>
    <row r="24" spans="1:6">
      <c r="A24" s="133"/>
      <c r="B24" s="6"/>
      <c r="C24" s="6"/>
    </row>
    <row r="25" spans="1:6">
      <c r="A25" s="33" t="s">
        <v>30</v>
      </c>
      <c r="B25" s="21" t="s">
        <v>36</v>
      </c>
      <c r="C25" s="30">
        <v>1.2530828177962363</v>
      </c>
    </row>
    <row r="26" spans="1:6">
      <c r="A26" s="23" t="s">
        <v>68</v>
      </c>
      <c r="B26" s="21" t="s">
        <v>22</v>
      </c>
      <c r="C26" s="31">
        <v>8.3592467060586678E-2</v>
      </c>
    </row>
    <row r="27" spans="1:6">
      <c r="A27" s="23"/>
      <c r="F27" s="6"/>
    </row>
    <row r="28" spans="1:6">
      <c r="A28" s="23"/>
      <c r="B28" s="141"/>
      <c r="C28" s="139"/>
      <c r="F28" s="9"/>
    </row>
    <row r="29" spans="1:6">
      <c r="A29" s="33" t="s">
        <v>29</v>
      </c>
      <c r="B29" s="111" t="s">
        <v>10</v>
      </c>
      <c r="C29" s="13">
        <f>(C13-C19)+C22</f>
        <v>-1.6454360236079728</v>
      </c>
      <c r="F29" s="9"/>
    </row>
    <row r="30" spans="1:6">
      <c r="A30" s="33"/>
      <c r="B30" s="111" t="s">
        <v>41</v>
      </c>
      <c r="C30" s="13">
        <f>SQRT(C17^2+C20^2+C23^2)</f>
        <v>0.50336939031954531</v>
      </c>
      <c r="F30" s="9"/>
    </row>
    <row r="31" spans="1:6">
      <c r="A31" s="33"/>
      <c r="B31" s="111"/>
      <c r="C31" s="138"/>
      <c r="F31" s="9"/>
    </row>
    <row r="32" spans="1:6">
      <c r="A32" s="33" t="s">
        <v>85</v>
      </c>
      <c r="B32" s="135" t="s">
        <v>11</v>
      </c>
      <c r="C32" s="13">
        <f>C29/C25</f>
        <v>-1.3131103549099474</v>
      </c>
      <c r="F32" s="9"/>
    </row>
    <row r="33" spans="1:12">
      <c r="A33" s="23"/>
      <c r="B33" s="135" t="s">
        <v>69</v>
      </c>
      <c r="C33" s="13">
        <f>ABS(C32*(SQRT((C30/C29)^2)+((C26/C25)^2)))</f>
        <v>0.40754834527311129</v>
      </c>
      <c r="F33" s="9"/>
    </row>
    <row r="34" spans="1:12">
      <c r="A34" s="159"/>
      <c r="B34" s="111"/>
      <c r="C34" s="138"/>
      <c r="D34" s="9"/>
      <c r="F34" s="9"/>
    </row>
    <row r="35" spans="1:12">
      <c r="A35" s="159"/>
      <c r="B35" s="111"/>
      <c r="C35" s="138"/>
      <c r="D35" s="9"/>
      <c r="F35" s="9"/>
    </row>
    <row r="36" spans="1:12">
      <c r="A36" s="159"/>
      <c r="B36" s="111"/>
      <c r="C36" s="138"/>
      <c r="D36" s="9"/>
      <c r="F36" s="9"/>
    </row>
    <row r="37" spans="1:12" s="21" customFormat="1">
      <c r="A37" s="159"/>
      <c r="B37" s="111"/>
      <c r="C37" s="138"/>
      <c r="D37" s="9"/>
      <c r="F37" s="9"/>
    </row>
    <row r="38" spans="1:12" s="21" customFormat="1">
      <c r="A38" s="141"/>
      <c r="B38" s="111"/>
      <c r="C38" s="138"/>
      <c r="D38" s="9"/>
      <c r="F38" s="9"/>
    </row>
    <row r="39" spans="1:12" s="21" customFormat="1">
      <c r="A39" s="141"/>
      <c r="B39" s="111"/>
      <c r="C39" s="138"/>
      <c r="D39" s="9"/>
      <c r="F39" s="9"/>
    </row>
    <row r="40" spans="1:12" s="21" customFormat="1">
      <c r="A40" s="141"/>
      <c r="B40" s="111"/>
      <c r="C40" s="138"/>
      <c r="D40" s="9"/>
      <c r="F40" s="9"/>
    </row>
    <row r="41" spans="1:12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</row>
    <row r="42" spans="1:12">
      <c r="A42" s="60"/>
      <c r="B42" s="60"/>
      <c r="C42" s="60"/>
      <c r="D42" s="60"/>
      <c r="E42" s="60"/>
      <c r="F42" s="60"/>
      <c r="G42" s="60"/>
      <c r="H42" s="60"/>
      <c r="I42" s="60"/>
      <c r="J42" s="61"/>
      <c r="K42" s="61"/>
      <c r="L42" s="60"/>
    </row>
    <row r="43" spans="1:12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</row>
    <row r="44" spans="1:12">
      <c r="A44" s="60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0"/>
    </row>
    <row r="45" spans="1:12">
      <c r="A45" s="60"/>
      <c r="B45" s="62"/>
      <c r="C45" s="64"/>
      <c r="D45" s="60"/>
      <c r="E45" s="60"/>
      <c r="F45" s="64"/>
      <c r="G45" s="63"/>
      <c r="H45" s="64"/>
      <c r="I45" s="63"/>
      <c r="J45" s="60"/>
      <c r="K45" s="60"/>
      <c r="L45" s="60"/>
    </row>
    <row r="46" spans="1:12">
      <c r="A46" s="60"/>
      <c r="B46" s="62"/>
      <c r="C46" s="64"/>
      <c r="D46" s="60"/>
      <c r="E46" s="60"/>
      <c r="F46" s="64"/>
      <c r="G46" s="63"/>
      <c r="H46" s="64"/>
      <c r="I46" s="63"/>
      <c r="J46" s="60"/>
      <c r="K46" s="60"/>
      <c r="L46" s="60"/>
    </row>
    <row r="47" spans="1:12">
      <c r="A47" s="60"/>
      <c r="B47" s="62"/>
      <c r="C47" s="64"/>
      <c r="D47" s="60"/>
      <c r="E47" s="60"/>
      <c r="F47" s="64"/>
      <c r="G47" s="63"/>
      <c r="H47" s="64"/>
      <c r="I47" s="63"/>
      <c r="J47" s="60"/>
      <c r="K47" s="60"/>
      <c r="L47" s="60"/>
    </row>
    <row r="48" spans="1:12">
      <c r="A48" s="60"/>
      <c r="B48" s="62"/>
      <c r="C48" s="64"/>
      <c r="D48" s="60"/>
      <c r="E48" s="60"/>
      <c r="F48" s="64"/>
      <c r="G48" s="63"/>
      <c r="H48" s="64"/>
      <c r="I48" s="63"/>
      <c r="J48" s="60"/>
      <c r="K48" s="60"/>
      <c r="L48" s="60"/>
    </row>
    <row r="49" spans="1:12">
      <c r="A49" s="60"/>
      <c r="B49" s="62"/>
      <c r="C49" s="64"/>
      <c r="D49" s="60"/>
      <c r="E49" s="60"/>
      <c r="F49" s="64"/>
      <c r="G49" s="63"/>
      <c r="H49" s="64"/>
      <c r="I49" s="63"/>
      <c r="J49" s="60"/>
      <c r="K49" s="60"/>
      <c r="L49" s="60"/>
    </row>
    <row r="50" spans="1:12">
      <c r="A50" s="60"/>
      <c r="B50" s="62"/>
      <c r="C50" s="64"/>
      <c r="D50" s="60"/>
      <c r="E50" s="60"/>
      <c r="F50" s="64"/>
      <c r="G50" s="63"/>
      <c r="H50" s="64"/>
      <c r="I50" s="63"/>
      <c r="J50" s="60"/>
      <c r="K50" s="60"/>
      <c r="L50" s="60"/>
    </row>
    <row r="51" spans="1:12">
      <c r="A51" s="60"/>
      <c r="B51" s="62"/>
      <c r="C51" s="64"/>
      <c r="D51" s="60"/>
      <c r="E51" s="60"/>
      <c r="F51" s="64"/>
      <c r="G51" s="63"/>
      <c r="H51" s="64"/>
      <c r="I51" s="63"/>
      <c r="J51" s="60"/>
      <c r="K51" s="60"/>
      <c r="L51" s="60"/>
    </row>
    <row r="52" spans="1:12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</row>
    <row r="54" spans="1:12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pageMargins left="0.7" right="0.7" top="0.75" bottom="0.75" header="0.3" footer="0.3"/>
  <pageSetup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59"/>
  <sheetViews>
    <sheetView zoomScale="90" zoomScaleNormal="90" workbookViewId="0">
      <selection activeCell="A21" sqref="A21"/>
    </sheetView>
  </sheetViews>
  <sheetFormatPr defaultRowHeight="14.5"/>
  <cols>
    <col min="1" max="1" width="32.08984375" style="21" customWidth="1"/>
    <col min="2" max="2" width="21.453125" customWidth="1"/>
    <col min="3" max="3" width="17.7265625" customWidth="1"/>
    <col min="4" max="4" width="20.453125" customWidth="1"/>
    <col min="5" max="5" width="13.1796875" customWidth="1"/>
    <col min="6" max="6" width="14.26953125" customWidth="1"/>
    <col min="7" max="7" width="14" customWidth="1"/>
    <col min="8" max="9" width="14.81640625" customWidth="1"/>
    <col min="10" max="11" width="15.54296875" customWidth="1"/>
    <col min="13" max="14" width="14.54296875" customWidth="1"/>
    <col min="15" max="15" width="13.26953125" customWidth="1"/>
  </cols>
  <sheetData>
    <row r="1" spans="1:18">
      <c r="B1" s="1" t="s">
        <v>277</v>
      </c>
      <c r="C1" s="57"/>
      <c r="D1" s="1"/>
      <c r="N1" s="1"/>
    </row>
    <row r="2" spans="1:18" ht="72.5">
      <c r="A2" s="24" t="s">
        <v>35</v>
      </c>
      <c r="B2" t="s">
        <v>0</v>
      </c>
      <c r="C2" s="117" t="s">
        <v>91</v>
      </c>
      <c r="D2" s="117" t="s">
        <v>34</v>
      </c>
      <c r="E2" s="65" t="s">
        <v>267</v>
      </c>
      <c r="F2" s="67" t="s">
        <v>31</v>
      </c>
      <c r="G2" s="58" t="s">
        <v>268</v>
      </c>
      <c r="H2" s="71" t="s">
        <v>269</v>
      </c>
      <c r="I2" s="72" t="s">
        <v>41</v>
      </c>
      <c r="J2" s="67" t="s">
        <v>9</v>
      </c>
      <c r="K2" s="71" t="s">
        <v>40</v>
      </c>
      <c r="L2" s="71" t="s">
        <v>41</v>
      </c>
      <c r="M2" s="67" t="s">
        <v>32</v>
      </c>
      <c r="N2" s="134" t="s">
        <v>76</v>
      </c>
      <c r="O2" s="115" t="s">
        <v>41</v>
      </c>
      <c r="P2" s="117" t="s">
        <v>74</v>
      </c>
      <c r="Q2" s="142" t="s">
        <v>75</v>
      </c>
      <c r="R2" s="71" t="s">
        <v>22</v>
      </c>
    </row>
    <row r="3" spans="1:18">
      <c r="B3" s="68">
        <v>601393.01800000004</v>
      </c>
      <c r="C3" s="91" t="s">
        <v>111</v>
      </c>
      <c r="D3" s="68">
        <v>7.8</v>
      </c>
      <c r="E3" s="68">
        <v>2.6</v>
      </c>
      <c r="F3" s="68">
        <v>-0.3</v>
      </c>
      <c r="G3" s="70">
        <f>F3-E3</f>
        <v>-2.9</v>
      </c>
      <c r="H3" s="74">
        <f>G3*0.99</f>
        <v>-2.871</v>
      </c>
      <c r="I3" s="73">
        <f>$C$21+(H3-G3)</f>
        <v>0.12899999999999992</v>
      </c>
      <c r="J3" s="69">
        <f>E3</f>
        <v>2.6</v>
      </c>
      <c r="K3" s="75">
        <f>J3*0.99</f>
        <v>2.5739999999999998</v>
      </c>
      <c r="L3" s="75">
        <f>J3-K3</f>
        <v>2.6000000000000245E-2</v>
      </c>
      <c r="M3" s="69"/>
      <c r="N3" s="76">
        <f>$C$24-$C$27</f>
        <v>-1.2543663027838785</v>
      </c>
      <c r="O3" s="76">
        <f>SQRT(($C$25^2)+($C$28^2))</f>
        <v>0.36055512754639896</v>
      </c>
      <c r="P3" s="76">
        <f>N3-H3</f>
        <v>1.6166336972161215</v>
      </c>
      <c r="Q3" s="73">
        <f>P3/K3</f>
        <v>0.62806281943128262</v>
      </c>
      <c r="R3" s="73">
        <f>Q3*(SQRT(((I3/H3)^2)+((O3/N3)^2)))</f>
        <v>0.18272276505384341</v>
      </c>
    </row>
    <row r="4" spans="1:18">
      <c r="A4" s="56" t="s">
        <v>42</v>
      </c>
      <c r="B4" s="68">
        <v>601393.01699999999</v>
      </c>
      <c r="C4" s="91" t="s">
        <v>112</v>
      </c>
      <c r="D4" s="68">
        <v>11.7</v>
      </c>
      <c r="E4" s="68"/>
      <c r="F4" s="68">
        <v>0.8</v>
      </c>
      <c r="G4" s="70"/>
      <c r="H4" s="74"/>
      <c r="I4" s="73"/>
      <c r="J4" s="69"/>
      <c r="K4" s="75"/>
      <c r="L4" s="75"/>
      <c r="M4" s="69"/>
      <c r="N4" s="140">
        <f t="shared" ref="N4:N14" si="0">$C$24-$C$27</f>
        <v>-1.2543663027838785</v>
      </c>
      <c r="O4" s="140">
        <f t="shared" ref="O4:O14" si="1">SQRT(($C$25^2)+($C$28^2))</f>
        <v>0.36055512754639896</v>
      </c>
      <c r="P4" s="76"/>
      <c r="Q4" s="73"/>
      <c r="R4" s="73"/>
    </row>
    <row r="5" spans="1:18">
      <c r="B5" s="68">
        <v>601393.00699999998</v>
      </c>
      <c r="C5" s="91" t="s">
        <v>113</v>
      </c>
      <c r="D5" s="68">
        <v>9.4</v>
      </c>
      <c r="E5" s="68">
        <v>3.1</v>
      </c>
      <c r="F5" s="68">
        <v>0.5</v>
      </c>
      <c r="G5" s="70">
        <f t="shared" ref="G5:G13" si="2">F5-E5</f>
        <v>-2.6</v>
      </c>
      <c r="H5" s="74">
        <f t="shared" ref="H5:H13" si="3">G5*0.99</f>
        <v>-2.5739999999999998</v>
      </c>
      <c r="I5" s="73">
        <f t="shared" ref="I5:I13" si="4">$C$21+(H5-G5)</f>
        <v>0.12600000000000025</v>
      </c>
      <c r="J5" s="69">
        <f t="shared" ref="J5:J13" si="5">E5</f>
        <v>3.1</v>
      </c>
      <c r="K5" s="75">
        <f t="shared" ref="K5:K13" si="6">J5*0.99</f>
        <v>3.069</v>
      </c>
      <c r="L5" s="75">
        <f t="shared" ref="L5:L13" si="7">J5-K5</f>
        <v>3.1000000000000139E-2</v>
      </c>
      <c r="M5" s="69"/>
      <c r="N5" s="140">
        <f t="shared" si="0"/>
        <v>-1.2543663027838785</v>
      </c>
      <c r="O5" s="140">
        <f t="shared" si="1"/>
        <v>0.36055512754639896</v>
      </c>
      <c r="P5" s="76">
        <f t="shared" ref="P5:P13" si="8">N5-H5</f>
        <v>1.3196336972161213</v>
      </c>
      <c r="Q5" s="73">
        <f t="shared" ref="Q5:Q13" si="9">P5/K5</f>
        <v>0.42998817113591442</v>
      </c>
      <c r="R5" s="73">
        <f t="shared" ref="R5:R13" si="10">Q5*(SQRT(((I5/H5)^2)+((O5/N5)^2)))</f>
        <v>0.12537528578217985</v>
      </c>
    </row>
    <row r="6" spans="1:18">
      <c r="B6" s="68">
        <v>601393.00600000005</v>
      </c>
      <c r="C6" s="91" t="s">
        <v>114</v>
      </c>
      <c r="D6" s="68">
        <v>7.3</v>
      </c>
      <c r="E6" s="68">
        <v>2.1</v>
      </c>
      <c r="F6" s="68">
        <v>-0.2</v>
      </c>
      <c r="G6" s="70">
        <f t="shared" si="2"/>
        <v>-2.3000000000000003</v>
      </c>
      <c r="H6" s="74">
        <f t="shared" si="3"/>
        <v>-2.2770000000000001</v>
      </c>
      <c r="I6" s="73">
        <f t="shared" si="4"/>
        <v>0.12300000000000014</v>
      </c>
      <c r="J6" s="69">
        <f t="shared" si="5"/>
        <v>2.1</v>
      </c>
      <c r="K6" s="75">
        <f t="shared" si="6"/>
        <v>2.0790000000000002</v>
      </c>
      <c r="L6" s="75">
        <f t="shared" si="7"/>
        <v>2.0999999999999908E-2</v>
      </c>
      <c r="M6" s="69"/>
      <c r="N6" s="140">
        <f t="shared" si="0"/>
        <v>-1.2543663027838785</v>
      </c>
      <c r="O6" s="140">
        <f t="shared" si="1"/>
        <v>0.36055512754639896</v>
      </c>
      <c r="P6" s="76">
        <f t="shared" si="8"/>
        <v>1.0226336972161216</v>
      </c>
      <c r="Q6" s="73">
        <f t="shared" si="9"/>
        <v>0.49188730024825472</v>
      </c>
      <c r="R6" s="73">
        <f t="shared" si="10"/>
        <v>0.14386318743318791</v>
      </c>
    </row>
    <row r="7" spans="1:18">
      <c r="A7" s="56" t="s">
        <v>43</v>
      </c>
      <c r="B7" s="68">
        <v>601393.005</v>
      </c>
      <c r="C7" s="91" t="s">
        <v>115</v>
      </c>
      <c r="D7" s="68">
        <v>8.6</v>
      </c>
      <c r="E7" s="68"/>
      <c r="F7" s="68">
        <v>-0.4</v>
      </c>
      <c r="G7" s="70"/>
      <c r="H7" s="74"/>
      <c r="I7" s="73"/>
      <c r="J7" s="69"/>
      <c r="K7" s="75"/>
      <c r="L7" s="75"/>
      <c r="M7" s="69"/>
      <c r="N7" s="140">
        <f t="shared" si="0"/>
        <v>-1.2543663027838785</v>
      </c>
      <c r="O7" s="140">
        <f t="shared" si="1"/>
        <v>0.36055512754639896</v>
      </c>
      <c r="P7" s="76"/>
      <c r="Q7" s="73"/>
      <c r="R7" s="73"/>
    </row>
    <row r="8" spans="1:18">
      <c r="B8" s="68">
        <v>601393.00100000005</v>
      </c>
      <c r="C8" s="91" t="s">
        <v>116</v>
      </c>
      <c r="D8" s="68">
        <v>8.6</v>
      </c>
      <c r="E8" s="68">
        <v>1.9</v>
      </c>
      <c r="F8" s="68">
        <v>-0.3</v>
      </c>
      <c r="G8" s="70">
        <f t="shared" si="2"/>
        <v>-2.1999999999999997</v>
      </c>
      <c r="H8" s="74">
        <f t="shared" si="3"/>
        <v>-2.1779999999999999</v>
      </c>
      <c r="I8" s="73">
        <f t="shared" si="4"/>
        <v>0.1219999999999998</v>
      </c>
      <c r="J8" s="69">
        <f t="shared" si="5"/>
        <v>1.9</v>
      </c>
      <c r="K8" s="75">
        <f t="shared" si="6"/>
        <v>1.881</v>
      </c>
      <c r="L8" s="75">
        <f t="shared" si="7"/>
        <v>1.8999999999999906E-2</v>
      </c>
      <c r="M8" s="69" t="s">
        <v>44</v>
      </c>
      <c r="N8" s="140">
        <f t="shared" si="0"/>
        <v>-1.2543663027838785</v>
      </c>
      <c r="O8" s="140">
        <f t="shared" si="1"/>
        <v>0.36055512754639896</v>
      </c>
      <c r="P8" s="76">
        <f t="shared" si="8"/>
        <v>0.92363369721612143</v>
      </c>
      <c r="Q8" s="73">
        <f t="shared" si="9"/>
        <v>0.49103333185333409</v>
      </c>
      <c r="R8" s="73">
        <f t="shared" si="10"/>
        <v>0.14379769636694656</v>
      </c>
    </row>
    <row r="9" spans="1:18">
      <c r="B9" s="68">
        <v>601393.00399999996</v>
      </c>
      <c r="C9" s="91" t="s">
        <v>117</v>
      </c>
      <c r="D9" s="68">
        <v>6.6</v>
      </c>
      <c r="E9" s="68">
        <v>1.4</v>
      </c>
      <c r="F9" s="68">
        <v>-0.3</v>
      </c>
      <c r="G9" s="70">
        <f t="shared" si="2"/>
        <v>-1.7</v>
      </c>
      <c r="H9" s="74">
        <f t="shared" si="3"/>
        <v>-1.6830000000000001</v>
      </c>
      <c r="I9" s="73">
        <f t="shared" si="4"/>
        <v>0.11699999999999991</v>
      </c>
      <c r="J9" s="69">
        <f t="shared" si="5"/>
        <v>1.4</v>
      </c>
      <c r="K9" s="75">
        <f t="shared" si="6"/>
        <v>1.3859999999999999</v>
      </c>
      <c r="L9" s="75">
        <f t="shared" si="7"/>
        <v>1.4000000000000012E-2</v>
      </c>
      <c r="M9" s="69"/>
      <c r="N9" s="140">
        <f t="shared" si="0"/>
        <v>-1.2543663027838785</v>
      </c>
      <c r="O9" s="140">
        <f t="shared" si="1"/>
        <v>0.36055512754639896</v>
      </c>
      <c r="P9" s="76">
        <f t="shared" si="8"/>
        <v>0.42863369721612155</v>
      </c>
      <c r="Q9" s="73">
        <f t="shared" si="9"/>
        <v>0.30925952180095351</v>
      </c>
      <c r="R9" s="73">
        <f t="shared" si="10"/>
        <v>9.1456486046066043E-2</v>
      </c>
    </row>
    <row r="10" spans="1:18">
      <c r="B10" s="68">
        <v>601393.00199999998</v>
      </c>
      <c r="C10" s="91" t="s">
        <v>118</v>
      </c>
      <c r="D10" s="68">
        <v>7.8</v>
      </c>
      <c r="E10" s="68">
        <v>1.3</v>
      </c>
      <c r="F10" s="68">
        <v>-0.6</v>
      </c>
      <c r="G10" s="70">
        <f t="shared" si="2"/>
        <v>-1.9</v>
      </c>
      <c r="H10" s="74">
        <f t="shared" si="3"/>
        <v>-1.881</v>
      </c>
      <c r="I10" s="73">
        <f t="shared" si="4"/>
        <v>0.11899999999999991</v>
      </c>
      <c r="J10" s="69">
        <f t="shared" si="5"/>
        <v>1.3</v>
      </c>
      <c r="K10" s="75">
        <f t="shared" si="6"/>
        <v>1.2869999999999999</v>
      </c>
      <c r="L10" s="75">
        <f t="shared" si="7"/>
        <v>1.3000000000000123E-2</v>
      </c>
      <c r="M10" s="69"/>
      <c r="N10" s="140">
        <f t="shared" si="0"/>
        <v>-1.2543663027838785</v>
      </c>
      <c r="O10" s="140">
        <f t="shared" si="1"/>
        <v>0.36055512754639896</v>
      </c>
      <c r="P10" s="76">
        <f t="shared" si="8"/>
        <v>0.6266336972161215</v>
      </c>
      <c r="Q10" s="73">
        <f t="shared" si="9"/>
        <v>0.48689486963179607</v>
      </c>
      <c r="R10" s="73">
        <f t="shared" si="10"/>
        <v>0.14330280570783968</v>
      </c>
    </row>
    <row r="11" spans="1:18">
      <c r="B11" s="68">
        <v>601393.00300000003</v>
      </c>
      <c r="C11" s="91" t="s">
        <v>119</v>
      </c>
      <c r="D11" s="68">
        <v>7.6</v>
      </c>
      <c r="E11" s="68">
        <v>1</v>
      </c>
      <c r="F11" s="68">
        <v>-0.7</v>
      </c>
      <c r="G11" s="70">
        <f t="shared" si="2"/>
        <v>-1.7</v>
      </c>
      <c r="H11" s="74">
        <f t="shared" si="3"/>
        <v>-1.6830000000000001</v>
      </c>
      <c r="I11" s="73">
        <f t="shared" si="4"/>
        <v>0.11699999999999991</v>
      </c>
      <c r="J11" s="69">
        <f t="shared" si="5"/>
        <v>1</v>
      </c>
      <c r="K11" s="75">
        <f t="shared" si="6"/>
        <v>0.99</v>
      </c>
      <c r="L11" s="75">
        <f t="shared" si="7"/>
        <v>1.0000000000000009E-2</v>
      </c>
      <c r="M11" s="69"/>
      <c r="N11" s="140">
        <f t="shared" si="0"/>
        <v>-1.2543663027838785</v>
      </c>
      <c r="O11" s="140">
        <f t="shared" si="1"/>
        <v>0.36055512754639896</v>
      </c>
      <c r="P11" s="76">
        <f t="shared" si="8"/>
        <v>0.42863369721612155</v>
      </c>
      <c r="Q11" s="73">
        <f t="shared" si="9"/>
        <v>0.4329633305213349</v>
      </c>
      <c r="R11" s="73">
        <f t="shared" si="10"/>
        <v>0.12803908046449244</v>
      </c>
    </row>
    <row r="12" spans="1:18">
      <c r="B12" s="68">
        <v>601393.00800000003</v>
      </c>
      <c r="C12" s="91" t="s">
        <v>120</v>
      </c>
      <c r="D12" s="68">
        <v>6.8</v>
      </c>
      <c r="E12" s="68">
        <v>0.8</v>
      </c>
      <c r="F12" s="68">
        <v>-1.1000000000000001</v>
      </c>
      <c r="G12" s="70">
        <f t="shared" si="2"/>
        <v>-1.9000000000000001</v>
      </c>
      <c r="H12" s="74">
        <f t="shared" si="3"/>
        <v>-1.881</v>
      </c>
      <c r="I12" s="73">
        <f t="shared" si="4"/>
        <v>0.11900000000000013</v>
      </c>
      <c r="J12" s="69">
        <f t="shared" si="5"/>
        <v>0.8</v>
      </c>
      <c r="K12" s="75">
        <f t="shared" si="6"/>
        <v>0.79200000000000004</v>
      </c>
      <c r="L12" s="75">
        <f t="shared" si="7"/>
        <v>8.0000000000000071E-3</v>
      </c>
      <c r="M12" s="69"/>
      <c r="N12" s="140">
        <f t="shared" si="0"/>
        <v>-1.2543663027838785</v>
      </c>
      <c r="O12" s="140">
        <f t="shared" si="1"/>
        <v>0.36055512754639896</v>
      </c>
      <c r="P12" s="76">
        <f t="shared" si="8"/>
        <v>0.6266336972161215</v>
      </c>
      <c r="Q12" s="73">
        <f t="shared" si="9"/>
        <v>0.79120416315166853</v>
      </c>
      <c r="R12" s="73">
        <f t="shared" si="10"/>
        <v>0.23286705927523946</v>
      </c>
    </row>
    <row r="13" spans="1:18">
      <c r="B13" s="68">
        <v>601393.00899999996</v>
      </c>
      <c r="C13" s="91" t="s">
        <v>121</v>
      </c>
      <c r="D13" s="68">
        <v>5.4</v>
      </c>
      <c r="E13" s="68">
        <v>1</v>
      </c>
      <c r="F13" s="68">
        <v>-1.4</v>
      </c>
      <c r="G13" s="70">
        <f t="shared" si="2"/>
        <v>-2.4</v>
      </c>
      <c r="H13" s="74">
        <f t="shared" si="3"/>
        <v>-2.3759999999999999</v>
      </c>
      <c r="I13" s="73">
        <f t="shared" si="4"/>
        <v>0.12400000000000003</v>
      </c>
      <c r="J13" s="69">
        <f t="shared" si="5"/>
        <v>1</v>
      </c>
      <c r="K13" s="75">
        <f t="shared" si="6"/>
        <v>0.99</v>
      </c>
      <c r="L13" s="75">
        <f t="shared" si="7"/>
        <v>1.0000000000000009E-2</v>
      </c>
      <c r="M13" s="69"/>
      <c r="N13" s="140">
        <f t="shared" si="0"/>
        <v>-1.2543663027838785</v>
      </c>
      <c r="O13" s="140">
        <f t="shared" si="1"/>
        <v>0.36055512754639896</v>
      </c>
      <c r="P13" s="76">
        <f t="shared" si="8"/>
        <v>1.1216336972161214</v>
      </c>
      <c r="Q13" s="73">
        <f t="shared" si="9"/>
        <v>1.1329633305213347</v>
      </c>
      <c r="R13" s="73">
        <f t="shared" si="10"/>
        <v>0.33098323740032298</v>
      </c>
    </row>
    <row r="14" spans="1:18">
      <c r="B14" s="77">
        <v>601393.01</v>
      </c>
      <c r="C14" s="77" t="s">
        <v>122</v>
      </c>
      <c r="D14" s="91">
        <v>5.6</v>
      </c>
      <c r="E14" s="91">
        <v>1.6</v>
      </c>
      <c r="F14" s="91">
        <v>-0.5</v>
      </c>
      <c r="G14" s="120">
        <f>F14-E14</f>
        <v>-2.1</v>
      </c>
      <c r="H14" s="144">
        <f>G14*0.99</f>
        <v>-2.0790000000000002</v>
      </c>
      <c r="I14" s="143">
        <f>$C$21+(H14-G14)</f>
        <v>0.12099999999999991</v>
      </c>
      <c r="J14" s="119">
        <f>E14</f>
        <v>1.6</v>
      </c>
      <c r="K14" s="127">
        <f>J14*0.99</f>
        <v>1.5840000000000001</v>
      </c>
      <c r="L14" s="127">
        <f>J14-K14</f>
        <v>1.6000000000000014E-2</v>
      </c>
      <c r="M14" s="119"/>
      <c r="N14" s="140">
        <f t="shared" si="0"/>
        <v>-1.2543663027838785</v>
      </c>
      <c r="O14" s="140">
        <f t="shared" si="1"/>
        <v>0.36055512754639896</v>
      </c>
      <c r="P14" s="140">
        <f>N14-H14</f>
        <v>0.82463369721612167</v>
      </c>
      <c r="Q14" s="143">
        <f>P14/K14</f>
        <v>0.52060208157583432</v>
      </c>
      <c r="R14" s="143">
        <f>Q14*(SQRT(((I14/H14)^2)+((O14/N14)^2)))</f>
        <v>0.15267862280833144</v>
      </c>
    </row>
    <row r="15" spans="1:18">
      <c r="G15" s="4"/>
      <c r="H15" s="7"/>
      <c r="I15" s="7"/>
      <c r="J15" s="7"/>
      <c r="K15" s="7"/>
      <c r="L15" s="7"/>
      <c r="M15" s="7"/>
      <c r="N15" s="7"/>
      <c r="O15" s="7"/>
      <c r="P15" s="17"/>
      <c r="Q15" s="9"/>
    </row>
    <row r="16" spans="1:18" ht="29">
      <c r="B16" s="1" t="s">
        <v>4</v>
      </c>
      <c r="E16" s="6"/>
      <c r="F16" s="4" t="s">
        <v>9</v>
      </c>
      <c r="G16" s="107" t="s">
        <v>265</v>
      </c>
      <c r="H16" s="18"/>
      <c r="I16" s="18"/>
      <c r="J16" s="18"/>
      <c r="K16" s="18"/>
      <c r="L16" s="18"/>
      <c r="M16" s="18"/>
      <c r="N16" s="18"/>
      <c r="O16" s="18"/>
      <c r="P16" s="18"/>
      <c r="Q16" s="9"/>
    </row>
    <row r="17" spans="1:17">
      <c r="B17" s="21" t="s">
        <v>37</v>
      </c>
      <c r="C17" s="29">
        <f>AVERAGE(G3:G14)</f>
        <v>-2.17</v>
      </c>
      <c r="E17" s="6"/>
      <c r="F17" s="29">
        <f>AVERAGE(J3:J14)</f>
        <v>1.6800000000000004</v>
      </c>
      <c r="G17" s="29">
        <f>STDEV(J3:J14)</f>
        <v>0.74654760955570165</v>
      </c>
      <c r="H17" s="16"/>
      <c r="I17" s="16"/>
      <c r="J17" s="16"/>
      <c r="K17" s="16"/>
      <c r="L17" s="16"/>
      <c r="M17" s="16"/>
      <c r="N17" s="16"/>
      <c r="O17" s="16"/>
      <c r="P17" s="16"/>
      <c r="Q17" s="9"/>
    </row>
    <row r="18" spans="1:17" ht="16.5">
      <c r="A18" s="33" t="s">
        <v>82</v>
      </c>
      <c r="B18" s="135" t="s">
        <v>88</v>
      </c>
      <c r="C18" s="31">
        <f>C17*0.99</f>
        <v>-2.1482999999999999</v>
      </c>
      <c r="E18" s="1" t="s">
        <v>23</v>
      </c>
      <c r="F18" s="14">
        <f>F17*0.99</f>
        <v>1.6632000000000005</v>
      </c>
      <c r="G18" s="14">
        <f>G17+(F17-F18)</f>
        <v>0.76334760955570158</v>
      </c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7" s="6" customFormat="1">
      <c r="A19" s="133"/>
      <c r="B19" s="6" t="s">
        <v>26</v>
      </c>
      <c r="C19" s="29">
        <f>STDEV(G3:G14)</f>
        <v>0.3917198545446024</v>
      </c>
      <c r="E19" s="1"/>
      <c r="F19" s="16"/>
      <c r="G19" s="16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1:17">
      <c r="A20" s="133"/>
      <c r="B20" s="6" t="s">
        <v>27</v>
      </c>
      <c r="C20" s="29">
        <f>C17-C18</f>
        <v>-2.1700000000000053E-2</v>
      </c>
      <c r="F20" s="10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1:17">
      <c r="A21" s="23" t="s">
        <v>282</v>
      </c>
      <c r="B21" s="6" t="s">
        <v>28</v>
      </c>
      <c r="C21" s="138">
        <v>0.1</v>
      </c>
      <c r="F21" s="9"/>
      <c r="H21" s="9"/>
      <c r="I21" s="9"/>
      <c r="J21" s="9"/>
      <c r="K21" s="9"/>
      <c r="L21" s="9"/>
      <c r="M21" s="9"/>
      <c r="N21" s="9"/>
      <c r="O21" s="9"/>
      <c r="P21" s="9"/>
      <c r="Q21" s="9"/>
    </row>
    <row r="22" spans="1:17" ht="16.5">
      <c r="A22" s="158" t="s">
        <v>83</v>
      </c>
      <c r="B22" s="1" t="s">
        <v>25</v>
      </c>
      <c r="C22" s="31">
        <f>(SQRT(C21^2+C19^2))+ABS(C20)</f>
        <v>0.42598262941220283</v>
      </c>
      <c r="F22" s="9"/>
    </row>
    <row r="23" spans="1:17" s="133" customFormat="1">
      <c r="B23" s="135"/>
      <c r="C23" s="138"/>
      <c r="D23" s="160"/>
      <c r="F23" s="141"/>
    </row>
    <row r="24" spans="1:17" s="133" customFormat="1" ht="16.5">
      <c r="A24" s="33" t="s">
        <v>84</v>
      </c>
      <c r="B24" s="133" t="s">
        <v>61</v>
      </c>
      <c r="C24" s="113">
        <v>-0.4</v>
      </c>
      <c r="F24" s="141"/>
    </row>
    <row r="25" spans="1:17" s="133" customFormat="1">
      <c r="A25" s="23" t="s">
        <v>66</v>
      </c>
      <c r="B25" s="133" t="s">
        <v>41</v>
      </c>
      <c r="C25" s="113">
        <v>0.2</v>
      </c>
      <c r="F25" s="141"/>
    </row>
    <row r="26" spans="1:17" s="21" customFormat="1">
      <c r="A26" s="133"/>
      <c r="B26" s="135"/>
      <c r="C26" s="138"/>
      <c r="F26" s="9"/>
    </row>
    <row r="27" spans="1:17" s="21" customFormat="1">
      <c r="A27" s="33" t="s">
        <v>81</v>
      </c>
      <c r="B27" s="133" t="s">
        <v>70</v>
      </c>
      <c r="C27" s="113">
        <f>0-((-0.6*C30)-0.3)</f>
        <v>0.8543663027838786</v>
      </c>
      <c r="F27" s="9"/>
    </row>
    <row r="28" spans="1:17" s="21" customFormat="1">
      <c r="A28" s="23" t="s">
        <v>67</v>
      </c>
      <c r="B28" s="133" t="s">
        <v>41</v>
      </c>
      <c r="C28" s="113">
        <v>0.3</v>
      </c>
      <c r="F28" s="9"/>
    </row>
    <row r="29" spans="1:17">
      <c r="A29" s="133"/>
      <c r="F29" s="9"/>
    </row>
    <row r="30" spans="1:17">
      <c r="A30" s="33" t="s">
        <v>30</v>
      </c>
      <c r="B30" s="21" t="s">
        <v>36</v>
      </c>
      <c r="C30" s="30">
        <v>0.92394383797313107</v>
      </c>
      <c r="F30" s="9"/>
    </row>
    <row r="31" spans="1:17">
      <c r="A31" s="23" t="s">
        <v>68</v>
      </c>
      <c r="B31" s="21" t="s">
        <v>22</v>
      </c>
      <c r="C31" s="31">
        <v>6.7599290144926077E-2</v>
      </c>
      <c r="F31" s="9"/>
    </row>
    <row r="32" spans="1:17">
      <c r="A32" s="23"/>
      <c r="F32" s="9"/>
    </row>
    <row r="33" spans="1:12">
      <c r="A33" s="23"/>
      <c r="B33" s="141"/>
      <c r="C33" s="139"/>
      <c r="F33" s="9"/>
    </row>
    <row r="34" spans="1:12">
      <c r="A34" s="33" t="s">
        <v>29</v>
      </c>
      <c r="B34" s="111" t="s">
        <v>10</v>
      </c>
      <c r="C34" s="13">
        <f>(C18-C24)+C27</f>
        <v>-0.89393369721612137</v>
      </c>
      <c r="F34" s="9"/>
    </row>
    <row r="35" spans="1:12">
      <c r="A35" s="33"/>
      <c r="B35" s="111" t="s">
        <v>41</v>
      </c>
      <c r="C35" s="13">
        <f>SQRT(C22^2+C25^2+C28^2)</f>
        <v>0.55808709048045013</v>
      </c>
      <c r="F35" s="9"/>
    </row>
    <row r="36" spans="1:12">
      <c r="A36" s="33"/>
      <c r="B36" s="111"/>
      <c r="C36" s="138"/>
      <c r="F36" s="9"/>
    </row>
    <row r="37" spans="1:12">
      <c r="A37" s="33" t="s">
        <v>85</v>
      </c>
      <c r="B37" s="135" t="s">
        <v>11</v>
      </c>
      <c r="C37" s="13">
        <f>C34/C30</f>
        <v>-0.96751951847761286</v>
      </c>
      <c r="F37" s="9"/>
    </row>
    <row r="38" spans="1:12">
      <c r="A38" s="23"/>
      <c r="B38" s="135" t="s">
        <v>69</v>
      </c>
      <c r="C38" s="13">
        <f>ABS(C37*(SQRT((C35/C34)^2)+((C31/C30)^2)))</f>
        <v>0.60920615414198109</v>
      </c>
      <c r="F38" s="9"/>
    </row>
    <row r="39" spans="1:12">
      <c r="A39" s="159"/>
      <c r="B39" s="111"/>
      <c r="C39" s="138"/>
      <c r="D39" s="141"/>
      <c r="F39" s="9"/>
    </row>
    <row r="40" spans="1:12">
      <c r="A40" s="159"/>
      <c r="B40" s="111"/>
      <c r="C40" s="138"/>
      <c r="D40" s="141"/>
      <c r="F40" s="9"/>
    </row>
    <row r="41" spans="1:12">
      <c r="A41" s="159"/>
      <c r="B41" s="111"/>
      <c r="C41" s="138"/>
      <c r="D41" s="141"/>
      <c r="F41" s="9"/>
    </row>
    <row r="42" spans="1:12">
      <c r="A42" s="159"/>
      <c r="B42" s="111"/>
      <c r="C42" s="138"/>
      <c r="D42" s="141"/>
      <c r="F42" s="9"/>
      <c r="J42" s="60"/>
      <c r="K42" s="60"/>
      <c r="L42" s="60"/>
    </row>
    <row r="43" spans="1:12">
      <c r="A43" s="141"/>
      <c r="B43" s="111"/>
      <c r="C43" s="138"/>
      <c r="D43" s="141"/>
      <c r="E43" s="6"/>
      <c r="F43" s="6"/>
      <c r="G43" s="6"/>
      <c r="H43" s="6"/>
      <c r="I43" s="6"/>
      <c r="J43" s="61"/>
      <c r="K43" s="61"/>
      <c r="L43" s="60"/>
    </row>
    <row r="44" spans="1:12">
      <c r="A44" s="141"/>
      <c r="B44" s="141"/>
      <c r="C44" s="141"/>
      <c r="D44" s="141"/>
      <c r="E44" s="60"/>
      <c r="F44" s="60"/>
      <c r="G44" s="60"/>
      <c r="H44" s="60"/>
      <c r="I44" s="60"/>
      <c r="J44" s="60"/>
      <c r="K44" s="60"/>
      <c r="L44" s="60"/>
    </row>
    <row r="45" spans="1:12">
      <c r="A45" s="141"/>
      <c r="B45" s="115"/>
      <c r="C45" s="115"/>
      <c r="D45" s="115"/>
      <c r="E45" s="65"/>
      <c r="F45" s="65"/>
      <c r="G45" s="65"/>
      <c r="H45" s="65"/>
      <c r="I45" s="65"/>
      <c r="J45" s="65"/>
      <c r="K45" s="65"/>
      <c r="L45" s="60"/>
    </row>
    <row r="46" spans="1:12">
      <c r="A46" s="141"/>
      <c r="B46" s="86"/>
      <c r="C46" s="139"/>
      <c r="D46" s="141"/>
      <c r="E46" s="60"/>
      <c r="F46" s="64"/>
      <c r="G46" s="63"/>
      <c r="H46" s="64"/>
      <c r="I46" s="63"/>
      <c r="J46" s="60"/>
      <c r="K46" s="60"/>
      <c r="L46" s="60"/>
    </row>
    <row r="47" spans="1:12">
      <c r="A47" s="60"/>
      <c r="B47" s="62"/>
      <c r="C47" s="64"/>
      <c r="D47" s="60"/>
      <c r="E47" s="60"/>
      <c r="F47" s="64"/>
      <c r="G47" s="63"/>
      <c r="H47" s="64"/>
      <c r="I47" s="63"/>
      <c r="J47" s="60"/>
      <c r="K47" s="60"/>
      <c r="L47" s="60"/>
    </row>
    <row r="48" spans="1:12">
      <c r="A48" s="60"/>
      <c r="B48" s="62"/>
      <c r="C48" s="64"/>
      <c r="D48" s="60"/>
      <c r="E48" s="60"/>
      <c r="F48" s="64"/>
      <c r="G48" s="63"/>
      <c r="H48" s="64"/>
      <c r="I48" s="63"/>
      <c r="J48" s="60"/>
      <c r="K48" s="60"/>
      <c r="L48" s="60"/>
    </row>
    <row r="49" spans="1:12">
      <c r="A49" s="60"/>
      <c r="B49" s="62"/>
      <c r="C49" s="64"/>
      <c r="D49" s="60"/>
      <c r="E49" s="60"/>
      <c r="F49" s="64"/>
      <c r="G49" s="63"/>
      <c r="H49" s="64"/>
      <c r="I49" s="63"/>
      <c r="J49" s="60"/>
      <c r="K49" s="60"/>
      <c r="L49" s="60"/>
    </row>
    <row r="50" spans="1:12">
      <c r="A50" s="60"/>
      <c r="B50" s="62"/>
      <c r="C50" s="64"/>
      <c r="D50" s="60"/>
      <c r="E50" s="60"/>
      <c r="F50" s="64"/>
      <c r="G50" s="63"/>
      <c r="H50" s="64"/>
      <c r="I50" s="63"/>
      <c r="J50" s="60"/>
      <c r="K50" s="60"/>
      <c r="L50" s="60"/>
    </row>
    <row r="51" spans="1:12">
      <c r="A51" s="60"/>
      <c r="B51" s="62"/>
      <c r="C51" s="64"/>
      <c r="D51" s="60"/>
      <c r="E51" s="60"/>
      <c r="F51" s="64"/>
      <c r="G51" s="63"/>
      <c r="H51" s="64"/>
      <c r="I51" s="63"/>
      <c r="J51" s="60"/>
      <c r="K51" s="60"/>
      <c r="L51" s="60"/>
    </row>
    <row r="52" spans="1:12">
      <c r="A52" s="60"/>
      <c r="B52" s="62"/>
      <c r="C52" s="64"/>
      <c r="D52" s="60"/>
      <c r="E52" s="60"/>
      <c r="F52" s="64"/>
      <c r="G52" s="63"/>
      <c r="H52" s="64"/>
      <c r="I52" s="63"/>
      <c r="J52" s="60"/>
      <c r="K52" s="60"/>
      <c r="L52" s="60"/>
    </row>
    <row r="53" spans="1:12">
      <c r="A53" s="60"/>
      <c r="B53" s="62"/>
      <c r="C53" s="64"/>
      <c r="D53" s="60"/>
      <c r="E53" s="60"/>
      <c r="F53" s="64"/>
      <c r="G53" s="63"/>
      <c r="H53" s="64"/>
      <c r="I53" s="63"/>
      <c r="J53" s="60"/>
      <c r="K53" s="60"/>
      <c r="L53" s="60"/>
    </row>
    <row r="54" spans="1:12">
      <c r="A54" s="60"/>
      <c r="B54" s="62"/>
      <c r="C54" s="64"/>
      <c r="D54" s="60"/>
      <c r="E54" s="60"/>
      <c r="F54" s="64"/>
      <c r="G54" s="63"/>
      <c r="H54" s="64"/>
      <c r="I54" s="63"/>
      <c r="J54" s="60"/>
      <c r="K54" s="60"/>
      <c r="L54" s="60"/>
    </row>
    <row r="55" spans="1:12">
      <c r="A55" s="60"/>
      <c r="B55" s="62"/>
      <c r="C55" s="64"/>
      <c r="D55" s="60"/>
      <c r="E55" s="60"/>
      <c r="F55" s="64"/>
      <c r="G55" s="63"/>
      <c r="H55" s="64"/>
      <c r="I55" s="63"/>
      <c r="J55" s="60"/>
      <c r="K55" s="60"/>
      <c r="L55" s="60"/>
    </row>
    <row r="56" spans="1:12">
      <c r="A56" s="60"/>
      <c r="B56" s="62"/>
      <c r="C56" s="64"/>
      <c r="D56" s="60"/>
      <c r="E56" s="60"/>
      <c r="F56" s="64"/>
      <c r="G56" s="63"/>
      <c r="H56" s="64"/>
      <c r="I56" s="63"/>
      <c r="J56" s="60"/>
      <c r="K56" s="60"/>
      <c r="L56" s="60"/>
    </row>
    <row r="57" spans="1:12">
      <c r="A57" s="60"/>
      <c r="B57" s="78"/>
      <c r="C57" s="64"/>
      <c r="D57" s="60"/>
      <c r="E57" s="60"/>
      <c r="F57" s="64"/>
      <c r="G57" s="63"/>
      <c r="H57" s="64"/>
      <c r="I57" s="63"/>
      <c r="J57" s="60"/>
      <c r="K57" s="60"/>
      <c r="L57" s="60"/>
    </row>
    <row r="58" spans="1:12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</row>
    <row r="59" spans="1:12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54"/>
  <sheetViews>
    <sheetView zoomScale="80" zoomScaleNormal="80" workbookViewId="0">
      <selection activeCell="A17" sqref="A17"/>
    </sheetView>
  </sheetViews>
  <sheetFormatPr defaultRowHeight="14.5"/>
  <cols>
    <col min="1" max="1" width="32.7265625" style="21" customWidth="1"/>
    <col min="2" max="2" width="21.453125" customWidth="1"/>
    <col min="3" max="3" width="18.90625" customWidth="1"/>
    <col min="4" max="4" width="20.453125" customWidth="1"/>
    <col min="5" max="5" width="13.1796875" customWidth="1"/>
    <col min="6" max="6" width="14.26953125" customWidth="1"/>
    <col min="7" max="7" width="14" customWidth="1"/>
    <col min="8" max="9" width="14.81640625" customWidth="1"/>
    <col min="10" max="11" width="15.54296875" customWidth="1"/>
    <col min="12" max="12" width="18.26953125" customWidth="1"/>
    <col min="13" max="14" width="14.54296875" customWidth="1"/>
    <col min="15" max="15" width="13.26953125" customWidth="1"/>
  </cols>
  <sheetData>
    <row r="1" spans="1:30">
      <c r="B1" s="1" t="s">
        <v>276</v>
      </c>
      <c r="C1" s="57"/>
      <c r="D1" s="57"/>
      <c r="E1" s="57"/>
      <c r="F1" s="57"/>
      <c r="G1" s="1"/>
      <c r="Q1" s="1"/>
    </row>
    <row r="2" spans="1:30" ht="72.5">
      <c r="A2" s="24" t="s">
        <v>35</v>
      </c>
      <c r="B2" t="s">
        <v>0</v>
      </c>
      <c r="C2" s="117" t="s">
        <v>91</v>
      </c>
      <c r="D2" s="117" t="s">
        <v>34</v>
      </c>
      <c r="E2" s="65" t="s">
        <v>267</v>
      </c>
      <c r="F2" s="67" t="s">
        <v>31</v>
      </c>
      <c r="G2" s="58" t="s">
        <v>268</v>
      </c>
      <c r="H2" s="71" t="s">
        <v>269</v>
      </c>
      <c r="I2" s="72" t="s">
        <v>41</v>
      </c>
      <c r="J2" s="67" t="s">
        <v>9</v>
      </c>
      <c r="K2" s="71" t="s">
        <v>40</v>
      </c>
      <c r="L2" s="71" t="s">
        <v>41</v>
      </c>
      <c r="M2" s="67" t="s">
        <v>32</v>
      </c>
      <c r="N2" s="134" t="s">
        <v>76</v>
      </c>
      <c r="O2" s="115" t="s">
        <v>41</v>
      </c>
      <c r="P2" s="117" t="s">
        <v>74</v>
      </c>
      <c r="Q2" s="142" t="s">
        <v>75</v>
      </c>
      <c r="R2" s="71" t="s">
        <v>22</v>
      </c>
      <c r="S2" s="60"/>
      <c r="T2" s="60"/>
      <c r="U2" s="79"/>
      <c r="V2" s="60"/>
      <c r="W2" s="60"/>
      <c r="X2" s="60"/>
      <c r="Y2" s="60"/>
      <c r="Z2" s="60"/>
      <c r="AA2" s="60"/>
      <c r="AB2" s="60"/>
      <c r="AC2" s="60"/>
      <c r="AD2" s="60"/>
    </row>
    <row r="3" spans="1:30">
      <c r="B3" s="68">
        <v>601493.00199999998</v>
      </c>
      <c r="C3" s="91" t="s">
        <v>123</v>
      </c>
      <c r="D3" s="68">
        <v>5.5</v>
      </c>
      <c r="E3" s="68">
        <v>1.7</v>
      </c>
      <c r="F3" s="68">
        <v>-0.6</v>
      </c>
      <c r="G3" s="70">
        <f>F3-E3</f>
        <v>-2.2999999999999998</v>
      </c>
      <c r="H3" s="74">
        <f>G3*0.99</f>
        <v>-2.2769999999999997</v>
      </c>
      <c r="I3" s="73">
        <f>$C$17+(H3-G3)</f>
        <v>0.12300000000000014</v>
      </c>
      <c r="J3" s="69">
        <f>E3</f>
        <v>1.7</v>
      </c>
      <c r="K3" s="75">
        <f>J3*0.99</f>
        <v>1.6830000000000001</v>
      </c>
      <c r="L3" s="75">
        <f>J3-K3</f>
        <v>1.6999999999999904E-2</v>
      </c>
      <c r="M3" s="69"/>
      <c r="N3" s="76">
        <f>$C$20-$C$23</f>
        <v>-1.2500374123548181</v>
      </c>
      <c r="O3" s="76">
        <f>SQRT(($C$21^2)+($C$24^2))</f>
        <v>0.36055512754639896</v>
      </c>
      <c r="P3" s="76">
        <f>N3-H3</f>
        <v>1.0269625876451816</v>
      </c>
      <c r="Q3" s="73">
        <f>P3/K3</f>
        <v>0.61019761595079114</v>
      </c>
      <c r="R3" s="73">
        <f>Q3*(SQRT(((I3/H3)^2)+((O3/N3)^2)))</f>
        <v>0.1790626045863829</v>
      </c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</row>
    <row r="4" spans="1:30" ht="30.75" customHeight="1">
      <c r="B4" s="68">
        <v>601493.00100000005</v>
      </c>
      <c r="C4" s="91" t="s">
        <v>124</v>
      </c>
      <c r="D4" s="68">
        <v>7.4</v>
      </c>
      <c r="E4" s="68">
        <v>2.2000000000000002</v>
      </c>
      <c r="F4" s="68">
        <v>-0.1</v>
      </c>
      <c r="G4" s="70">
        <f t="shared" ref="G4:G10" si="0">F4-E4</f>
        <v>-2.3000000000000003</v>
      </c>
      <c r="H4" s="74">
        <f t="shared" ref="H4:H10" si="1">G4*0.99</f>
        <v>-2.2770000000000001</v>
      </c>
      <c r="I4" s="73">
        <f t="shared" ref="I4:I10" si="2">$C$17+(H4-G4)</f>
        <v>0.12300000000000014</v>
      </c>
      <c r="J4" s="69">
        <f t="shared" ref="J4:J10" si="3">E4</f>
        <v>2.2000000000000002</v>
      </c>
      <c r="K4" s="75">
        <f t="shared" ref="K4:K10" si="4">J4*0.99</f>
        <v>2.1779999999999999</v>
      </c>
      <c r="L4" s="75">
        <f t="shared" ref="L4:L10" si="5">J4-K4</f>
        <v>2.2000000000000242E-2</v>
      </c>
      <c r="M4" s="54" t="s">
        <v>15</v>
      </c>
      <c r="N4" s="140">
        <f t="shared" ref="N4:N10" si="6">$C$20-$C$23</f>
        <v>-1.2500374123548181</v>
      </c>
      <c r="O4" s="140">
        <f t="shared" ref="O4:O10" si="7">SQRT(($C$21^2)+($C$24^2))</f>
        <v>0.36055512754639896</v>
      </c>
      <c r="P4" s="100">
        <f t="shared" ref="P4:P10" si="8">N4-H4</f>
        <v>1.026962587645182</v>
      </c>
      <c r="Q4" s="97">
        <f t="shared" ref="Q4:Q10" si="9">P4/K4</f>
        <v>0.47151633959833888</v>
      </c>
      <c r="R4" s="97">
        <f t="shared" ref="R4:R10" si="10">Q4*(SQRT(((I4/H4)^2)+((O4/N4)^2)))</f>
        <v>0.13836655808947779</v>
      </c>
      <c r="S4" s="60"/>
      <c r="T4" s="65"/>
      <c r="U4" s="60"/>
      <c r="V4" s="60"/>
      <c r="W4" s="60"/>
      <c r="X4" s="60"/>
      <c r="Y4" s="60"/>
      <c r="Z4" s="60"/>
      <c r="AA4" s="60"/>
      <c r="AB4" s="60"/>
      <c r="AC4" s="60"/>
      <c r="AD4" s="60"/>
    </row>
    <row r="5" spans="1:30">
      <c r="B5" s="68">
        <v>601493.00800000003</v>
      </c>
      <c r="C5" s="91" t="s">
        <v>125</v>
      </c>
      <c r="D5" s="68">
        <v>7.6</v>
      </c>
      <c r="E5" s="68">
        <v>3.2</v>
      </c>
      <c r="F5" s="68">
        <v>0.8</v>
      </c>
      <c r="G5" s="70">
        <f t="shared" si="0"/>
        <v>-2.4000000000000004</v>
      </c>
      <c r="H5" s="74">
        <f t="shared" si="1"/>
        <v>-2.3760000000000003</v>
      </c>
      <c r="I5" s="73">
        <f t="shared" si="2"/>
        <v>0.12400000000000003</v>
      </c>
      <c r="J5" s="69">
        <f t="shared" si="3"/>
        <v>3.2</v>
      </c>
      <c r="K5" s="75">
        <f t="shared" si="4"/>
        <v>3.1680000000000001</v>
      </c>
      <c r="L5" s="75">
        <f t="shared" si="5"/>
        <v>3.2000000000000028E-2</v>
      </c>
      <c r="M5" s="69"/>
      <c r="N5" s="140">
        <f t="shared" si="6"/>
        <v>-1.2500374123548181</v>
      </c>
      <c r="O5" s="140">
        <f t="shared" si="7"/>
        <v>0.36055512754639896</v>
      </c>
      <c r="P5" s="100">
        <f t="shared" si="8"/>
        <v>1.1259625876451822</v>
      </c>
      <c r="Q5" s="97">
        <f t="shared" si="9"/>
        <v>0.35541748347385799</v>
      </c>
      <c r="R5" s="97">
        <f t="shared" si="10"/>
        <v>0.1041795668419436</v>
      </c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</row>
    <row r="6" spans="1:30">
      <c r="B6" s="68">
        <v>601493.00699999998</v>
      </c>
      <c r="C6" s="91" t="s">
        <v>126</v>
      </c>
      <c r="D6" s="68">
        <v>9.6</v>
      </c>
      <c r="E6" s="68">
        <v>2.9</v>
      </c>
      <c r="F6" s="68">
        <v>0.2</v>
      </c>
      <c r="G6" s="70">
        <f t="shared" si="0"/>
        <v>-2.6999999999999997</v>
      </c>
      <c r="H6" s="74">
        <f t="shared" si="1"/>
        <v>-2.6729999999999996</v>
      </c>
      <c r="I6" s="73">
        <f t="shared" si="2"/>
        <v>0.12700000000000014</v>
      </c>
      <c r="J6" s="69">
        <f t="shared" si="3"/>
        <v>2.9</v>
      </c>
      <c r="K6" s="75">
        <f t="shared" si="4"/>
        <v>2.871</v>
      </c>
      <c r="L6" s="75">
        <f t="shared" si="5"/>
        <v>2.8999999999999915E-2</v>
      </c>
      <c r="M6" s="69"/>
      <c r="N6" s="140">
        <f t="shared" si="6"/>
        <v>-1.2500374123548181</v>
      </c>
      <c r="O6" s="140">
        <f t="shared" si="7"/>
        <v>0.36055512754639896</v>
      </c>
      <c r="P6" s="100">
        <f t="shared" si="8"/>
        <v>1.4229625876451815</v>
      </c>
      <c r="Q6" s="97">
        <f t="shared" si="9"/>
        <v>0.49563308521253274</v>
      </c>
      <c r="R6" s="97">
        <f t="shared" si="10"/>
        <v>0.14488468653099801</v>
      </c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</row>
    <row r="7" spans="1:30">
      <c r="B7" s="68">
        <v>601493.00300000003</v>
      </c>
      <c r="C7" s="91" t="s">
        <v>127</v>
      </c>
      <c r="D7" s="68">
        <v>7.2</v>
      </c>
      <c r="E7" s="68">
        <v>1.8</v>
      </c>
      <c r="F7" s="68">
        <v>-0.5</v>
      </c>
      <c r="G7" s="70">
        <f t="shared" si="0"/>
        <v>-2.2999999999999998</v>
      </c>
      <c r="H7" s="74">
        <f t="shared" si="1"/>
        <v>-2.2769999999999997</v>
      </c>
      <c r="I7" s="73">
        <f t="shared" si="2"/>
        <v>0.12300000000000014</v>
      </c>
      <c r="J7" s="69">
        <f t="shared" si="3"/>
        <v>1.8</v>
      </c>
      <c r="K7" s="75">
        <f t="shared" si="4"/>
        <v>1.782</v>
      </c>
      <c r="L7" s="75">
        <f t="shared" si="5"/>
        <v>1.8000000000000016E-2</v>
      </c>
      <c r="M7" s="69"/>
      <c r="N7" s="140">
        <f t="shared" si="6"/>
        <v>-1.2500374123548181</v>
      </c>
      <c r="O7" s="140">
        <f t="shared" si="7"/>
        <v>0.36055512754639896</v>
      </c>
      <c r="P7" s="100">
        <f t="shared" si="8"/>
        <v>1.0269625876451816</v>
      </c>
      <c r="Q7" s="97">
        <f t="shared" si="9"/>
        <v>0.57629774839796943</v>
      </c>
      <c r="R7" s="97">
        <f t="shared" si="10"/>
        <v>0.16911468210936165</v>
      </c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</row>
    <row r="8" spans="1:30">
      <c r="B8" s="68">
        <v>601493.005</v>
      </c>
      <c r="C8" s="91" t="s">
        <v>128</v>
      </c>
      <c r="D8" s="68">
        <v>5.4</v>
      </c>
      <c r="E8" s="68">
        <v>2</v>
      </c>
      <c r="F8" s="68">
        <v>-0.8</v>
      </c>
      <c r="G8" s="70">
        <f t="shared" si="0"/>
        <v>-2.8</v>
      </c>
      <c r="H8" s="74">
        <f t="shared" si="1"/>
        <v>-2.7719999999999998</v>
      </c>
      <c r="I8" s="73">
        <f t="shared" si="2"/>
        <v>0.12800000000000003</v>
      </c>
      <c r="J8" s="69">
        <f t="shared" si="3"/>
        <v>2</v>
      </c>
      <c r="K8" s="75">
        <f t="shared" si="4"/>
        <v>1.98</v>
      </c>
      <c r="L8" s="75">
        <f t="shared" si="5"/>
        <v>2.0000000000000018E-2</v>
      </c>
      <c r="M8" s="69"/>
      <c r="N8" s="140">
        <f t="shared" si="6"/>
        <v>-1.2500374123548181</v>
      </c>
      <c r="O8" s="140">
        <f t="shared" si="7"/>
        <v>0.36055512754639896</v>
      </c>
      <c r="P8" s="100">
        <f t="shared" si="8"/>
        <v>1.5219625876451817</v>
      </c>
      <c r="Q8" s="97">
        <f t="shared" si="9"/>
        <v>0.76866797355817251</v>
      </c>
      <c r="R8" s="97">
        <f t="shared" si="10"/>
        <v>0.22453427949822694</v>
      </c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</row>
    <row r="9" spans="1:30">
      <c r="B9" s="68">
        <v>601493.00399999996</v>
      </c>
      <c r="C9" s="91" t="s">
        <v>129</v>
      </c>
      <c r="D9" s="68">
        <v>5.8</v>
      </c>
      <c r="E9" s="68">
        <v>1.8</v>
      </c>
      <c r="F9" s="68">
        <v>-1.2</v>
      </c>
      <c r="G9" s="70">
        <f t="shared" si="0"/>
        <v>-3</v>
      </c>
      <c r="H9" s="74">
        <f t="shared" si="1"/>
        <v>-2.9699999999999998</v>
      </c>
      <c r="I9" s="73">
        <f t="shared" si="2"/>
        <v>0.13000000000000025</v>
      </c>
      <c r="J9" s="69">
        <f t="shared" si="3"/>
        <v>1.8</v>
      </c>
      <c r="K9" s="75">
        <f t="shared" si="4"/>
        <v>1.782</v>
      </c>
      <c r="L9" s="75">
        <f t="shared" si="5"/>
        <v>1.8000000000000016E-2</v>
      </c>
      <c r="M9" s="69"/>
      <c r="N9" s="140">
        <f t="shared" si="6"/>
        <v>-1.2500374123548181</v>
      </c>
      <c r="O9" s="140">
        <f t="shared" si="7"/>
        <v>0.36055512754639896</v>
      </c>
      <c r="P9" s="100">
        <f t="shared" si="8"/>
        <v>1.7199625876451816</v>
      </c>
      <c r="Q9" s="97">
        <f t="shared" si="9"/>
        <v>0.96518663728685838</v>
      </c>
      <c r="R9" s="97">
        <f t="shared" si="10"/>
        <v>0.28158139342286709</v>
      </c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</row>
    <row r="10" spans="1:30">
      <c r="B10" s="68">
        <v>601493.00600000005</v>
      </c>
      <c r="C10" s="91" t="s">
        <v>130</v>
      </c>
      <c r="D10" s="68">
        <v>5.5</v>
      </c>
      <c r="E10" s="68">
        <v>1.1000000000000001</v>
      </c>
      <c r="F10" s="68">
        <v>-1.1000000000000001</v>
      </c>
      <c r="G10" s="70">
        <f t="shared" si="0"/>
        <v>-2.2000000000000002</v>
      </c>
      <c r="H10" s="74">
        <f t="shared" si="1"/>
        <v>-2.1779999999999999</v>
      </c>
      <c r="I10" s="73">
        <f t="shared" si="2"/>
        <v>0.12200000000000025</v>
      </c>
      <c r="J10" s="69">
        <f t="shared" si="3"/>
        <v>1.1000000000000001</v>
      </c>
      <c r="K10" s="75">
        <f t="shared" si="4"/>
        <v>1.089</v>
      </c>
      <c r="L10" s="75">
        <f t="shared" si="5"/>
        <v>1.1000000000000121E-2</v>
      </c>
      <c r="M10" s="69"/>
      <c r="N10" s="140">
        <f t="shared" si="6"/>
        <v>-1.2500374123548181</v>
      </c>
      <c r="O10" s="140">
        <f t="shared" si="7"/>
        <v>0.36055512754639896</v>
      </c>
      <c r="P10" s="100">
        <f t="shared" si="8"/>
        <v>0.9279625876451818</v>
      </c>
      <c r="Q10" s="97">
        <f t="shared" si="9"/>
        <v>0.85212358828758661</v>
      </c>
      <c r="R10" s="97">
        <f t="shared" si="10"/>
        <v>0.25037453909390817</v>
      </c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</row>
    <row r="11" spans="1:30">
      <c r="B11" s="53"/>
      <c r="C11" s="53"/>
      <c r="D11" s="53"/>
      <c r="E11" s="53"/>
      <c r="F11" s="53"/>
      <c r="G11" s="42"/>
      <c r="H11" s="43"/>
      <c r="I11" s="43"/>
      <c r="J11" s="43"/>
      <c r="K11" s="43"/>
      <c r="L11" s="59"/>
      <c r="M11" s="59"/>
      <c r="N11" s="59"/>
      <c r="O11" s="59"/>
      <c r="P11" s="65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</row>
    <row r="12" spans="1:30" ht="29">
      <c r="B12" s="1" t="s">
        <v>4</v>
      </c>
      <c r="E12" s="6"/>
      <c r="F12" s="4" t="s">
        <v>9</v>
      </c>
      <c r="G12" s="107" t="s">
        <v>265</v>
      </c>
      <c r="H12" s="18"/>
      <c r="I12" s="18"/>
      <c r="J12" s="66"/>
      <c r="K12" s="66"/>
      <c r="L12" s="66"/>
      <c r="M12" s="66"/>
      <c r="N12" s="66"/>
      <c r="O12" s="66"/>
      <c r="P12" s="66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</row>
    <row r="13" spans="1:30">
      <c r="B13" s="21" t="s">
        <v>37</v>
      </c>
      <c r="C13" s="29">
        <f>AVERAGE(G3:G10)</f>
        <v>-2.5</v>
      </c>
      <c r="E13" s="6"/>
      <c r="F13" s="29">
        <f>AVERAGE(J3:J10)</f>
        <v>2.0875000000000004</v>
      </c>
      <c r="G13" s="29">
        <f>STDEV(J3:J10)</f>
        <v>0.67704716020588729</v>
      </c>
      <c r="H13" s="16"/>
      <c r="I13" s="16"/>
      <c r="J13" s="64"/>
      <c r="K13" s="64"/>
      <c r="L13" s="64"/>
      <c r="M13" s="64"/>
      <c r="N13" s="64"/>
      <c r="O13" s="64"/>
      <c r="P13" s="64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</row>
    <row r="14" spans="1:30" ht="16.5">
      <c r="A14" s="33" t="s">
        <v>82</v>
      </c>
      <c r="B14" s="135" t="s">
        <v>88</v>
      </c>
      <c r="C14" s="31">
        <f>C13*0.99</f>
        <v>-2.4750000000000001</v>
      </c>
      <c r="E14" s="1" t="s">
        <v>23</v>
      </c>
      <c r="F14" s="14">
        <f>F13*0.99</f>
        <v>2.0666250000000002</v>
      </c>
      <c r="G14" s="14">
        <f>G13+(F13-F14)</f>
        <v>0.69792216020588749</v>
      </c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30" s="6" customFormat="1">
      <c r="A15" s="133"/>
      <c r="B15" s="6" t="s">
        <v>26</v>
      </c>
      <c r="C15" s="29">
        <f>STDEV(G3:G10)</f>
        <v>0.29277002188456031</v>
      </c>
      <c r="E15" s="1"/>
      <c r="F15" s="16"/>
      <c r="G15" s="16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30">
      <c r="A16" s="133"/>
      <c r="B16" s="6" t="s">
        <v>27</v>
      </c>
      <c r="C16" s="29">
        <f>C13-C14</f>
        <v>-2.4999999999999911E-2</v>
      </c>
      <c r="F16" s="10"/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1:17">
      <c r="A17" s="23" t="s">
        <v>282</v>
      </c>
      <c r="B17" s="6" t="s">
        <v>28</v>
      </c>
      <c r="C17" s="138">
        <v>0.1</v>
      </c>
      <c r="F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17" ht="16.5">
      <c r="A18" s="158" t="s">
        <v>83</v>
      </c>
      <c r="B18" s="1" t="s">
        <v>25</v>
      </c>
      <c r="C18" s="31">
        <f>(SQRT(C17^2+C15^2))+ABS(C16)</f>
        <v>0.334377254681539</v>
      </c>
      <c r="F18" s="9"/>
    </row>
    <row r="19" spans="1:17" s="133" customFormat="1">
      <c r="B19" s="135"/>
      <c r="C19" s="138"/>
      <c r="F19" s="141"/>
    </row>
    <row r="20" spans="1:17" s="133" customFormat="1" ht="16.5">
      <c r="A20" s="33" t="s">
        <v>84</v>
      </c>
      <c r="B20" s="133" t="s">
        <v>61</v>
      </c>
      <c r="C20" s="113">
        <v>-0.4</v>
      </c>
      <c r="F20" s="141"/>
    </row>
    <row r="21" spans="1:17" s="133" customFormat="1">
      <c r="A21" s="23" t="s">
        <v>66</v>
      </c>
      <c r="B21" s="133" t="s">
        <v>41</v>
      </c>
      <c r="C21" s="113">
        <v>0.2</v>
      </c>
      <c r="F21" s="141"/>
    </row>
    <row r="22" spans="1:17" s="21" customFormat="1">
      <c r="A22" s="133"/>
      <c r="B22" s="135"/>
      <c r="C22" s="138"/>
      <c r="F22" s="9"/>
    </row>
    <row r="23" spans="1:17" s="21" customFormat="1">
      <c r="A23" s="33" t="s">
        <v>81</v>
      </c>
      <c r="B23" s="133" t="s">
        <v>70</v>
      </c>
      <c r="C23" s="113">
        <f>0-((-0.6*C26)-0.3)</f>
        <v>0.85003741235481822</v>
      </c>
      <c r="F23" s="9"/>
    </row>
    <row r="24" spans="1:17" s="21" customFormat="1">
      <c r="A24" s="23" t="s">
        <v>67</v>
      </c>
      <c r="B24" s="133" t="s">
        <v>41</v>
      </c>
      <c r="C24" s="113">
        <v>0.3</v>
      </c>
      <c r="F24" s="9"/>
    </row>
    <row r="25" spans="1:17">
      <c r="A25" s="133"/>
      <c r="C25" s="9"/>
      <c r="F25" s="9"/>
    </row>
    <row r="26" spans="1:17">
      <c r="A26" s="33" t="s">
        <v>30</v>
      </c>
      <c r="B26" s="21" t="s">
        <v>36</v>
      </c>
      <c r="C26" s="30">
        <v>0.91672902059136363</v>
      </c>
      <c r="F26" s="9"/>
    </row>
    <row r="27" spans="1:17">
      <c r="A27" s="23" t="s">
        <v>68</v>
      </c>
      <c r="B27" s="21" t="s">
        <v>22</v>
      </c>
      <c r="C27" s="31">
        <v>5.5035589505413811E-2</v>
      </c>
      <c r="F27" s="9"/>
    </row>
    <row r="28" spans="1:17">
      <c r="A28" s="23"/>
      <c r="F28" s="9"/>
    </row>
    <row r="29" spans="1:17">
      <c r="A29" s="23"/>
      <c r="B29" s="141"/>
      <c r="C29" s="139"/>
      <c r="F29" s="9"/>
    </row>
    <row r="30" spans="1:17">
      <c r="A30" s="33" t="s">
        <v>29</v>
      </c>
      <c r="B30" s="111" t="s">
        <v>10</v>
      </c>
      <c r="C30" s="13">
        <f>(C14-C20)+C23</f>
        <v>-1.224962587645182</v>
      </c>
      <c r="F30" s="9"/>
    </row>
    <row r="31" spans="1:17">
      <c r="A31" s="33"/>
      <c r="B31" s="111" t="s">
        <v>41</v>
      </c>
      <c r="C31" s="13">
        <f>SQRT(C18^2+C21^2+C24^2)</f>
        <v>0.49173991951880702</v>
      </c>
      <c r="F31" s="9"/>
    </row>
    <row r="32" spans="1:17">
      <c r="A32" s="33"/>
      <c r="B32" s="111"/>
      <c r="C32" s="138"/>
      <c r="F32" s="9"/>
    </row>
    <row r="33" spans="1:13">
      <c r="A33" s="33" t="s">
        <v>85</v>
      </c>
      <c r="B33" s="135" t="s">
        <v>11</v>
      </c>
      <c r="C33" s="13">
        <f>C30/C26</f>
        <v>-1.336231929098288</v>
      </c>
      <c r="F33" s="9"/>
    </row>
    <row r="34" spans="1:13">
      <c r="A34" s="23"/>
      <c r="B34" s="135" t="s">
        <v>69</v>
      </c>
      <c r="C34" s="13">
        <f>ABS(C33*(SQRT((C31/C30)^2)+((C27/C26)^2)))</f>
        <v>0.54122306807060672</v>
      </c>
      <c r="D34" s="9"/>
      <c r="F34" s="9"/>
    </row>
    <row r="35" spans="1:13">
      <c r="A35" s="159"/>
      <c r="B35" s="111"/>
      <c r="C35" s="138"/>
      <c r="D35" s="9"/>
      <c r="F35" s="9"/>
    </row>
    <row r="36" spans="1:13">
      <c r="A36" s="159"/>
      <c r="B36" s="111"/>
      <c r="C36" s="138"/>
      <c r="D36" s="9"/>
      <c r="F36" s="9"/>
    </row>
    <row r="37" spans="1:13">
      <c r="A37" s="159"/>
      <c r="B37" s="111"/>
      <c r="C37" s="138"/>
      <c r="D37" s="9"/>
      <c r="F37" s="9"/>
    </row>
    <row r="38" spans="1:13">
      <c r="A38" s="159"/>
      <c r="B38" s="111"/>
      <c r="C38" s="138"/>
      <c r="D38" s="9"/>
      <c r="F38" s="9"/>
    </row>
    <row r="39" spans="1:13">
      <c r="A39" s="141"/>
      <c r="B39" s="111"/>
      <c r="C39" s="138"/>
      <c r="F39" s="9"/>
    </row>
    <row r="40" spans="1:13">
      <c r="A40" s="141"/>
      <c r="B40" s="141"/>
      <c r="C40" s="141"/>
      <c r="F40" s="9"/>
    </row>
    <row r="41" spans="1:13">
      <c r="A41" s="141"/>
      <c r="B41" s="141"/>
      <c r="C41" s="141"/>
      <c r="D41" s="84"/>
      <c r="E41" s="84"/>
      <c r="F41" s="84"/>
      <c r="G41" s="84"/>
      <c r="H41" s="84"/>
      <c r="I41" s="84"/>
      <c r="J41" s="85"/>
      <c r="K41" s="85"/>
      <c r="L41" s="84"/>
      <c r="M41" s="84"/>
    </row>
    <row r="42" spans="1:13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</row>
    <row r="43" spans="1:13">
      <c r="A43" s="84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4"/>
      <c r="M43" s="84"/>
    </row>
    <row r="44" spans="1:13">
      <c r="A44" s="84"/>
      <c r="B44" s="86"/>
      <c r="C44" s="88"/>
      <c r="D44" s="84"/>
      <c r="E44" s="84"/>
      <c r="F44" s="88"/>
      <c r="G44" s="87"/>
      <c r="H44" s="88"/>
      <c r="I44" s="87"/>
      <c r="J44" s="84"/>
      <c r="K44" s="84"/>
      <c r="L44" s="84"/>
      <c r="M44" s="84"/>
    </row>
    <row r="45" spans="1:13">
      <c r="A45" s="84"/>
      <c r="B45" s="86"/>
      <c r="C45" s="88"/>
      <c r="D45" s="84"/>
      <c r="E45" s="84"/>
      <c r="F45" s="88"/>
      <c r="G45" s="87"/>
      <c r="H45" s="88"/>
      <c r="I45" s="87"/>
      <c r="J45" s="84"/>
      <c r="K45" s="84"/>
      <c r="L45" s="84"/>
      <c r="M45" s="84"/>
    </row>
    <row r="46" spans="1:13">
      <c r="A46" s="84"/>
      <c r="B46" s="86"/>
      <c r="C46" s="88"/>
      <c r="D46" s="84"/>
      <c r="E46" s="84"/>
      <c r="F46" s="88"/>
      <c r="G46" s="87"/>
      <c r="H46" s="88"/>
      <c r="I46" s="87"/>
      <c r="J46" s="84"/>
      <c r="K46" s="84"/>
      <c r="L46" s="84"/>
      <c r="M46" s="84"/>
    </row>
    <row r="47" spans="1:13">
      <c r="A47" s="84"/>
      <c r="B47" s="86"/>
      <c r="C47" s="88"/>
      <c r="D47" s="84"/>
      <c r="E47" s="84"/>
      <c r="F47" s="88"/>
      <c r="G47" s="87"/>
      <c r="H47" s="88"/>
      <c r="I47" s="87"/>
      <c r="J47" s="84"/>
      <c r="K47" s="84"/>
      <c r="L47" s="84"/>
      <c r="M47" s="84"/>
    </row>
    <row r="48" spans="1:13">
      <c r="A48" s="84"/>
      <c r="B48" s="86"/>
      <c r="C48" s="88"/>
      <c r="D48" s="84"/>
      <c r="E48" s="84"/>
      <c r="F48" s="88"/>
      <c r="G48" s="87"/>
      <c r="H48" s="88"/>
      <c r="I48" s="87"/>
      <c r="J48" s="84"/>
      <c r="K48" s="84"/>
      <c r="L48" s="84"/>
      <c r="M48" s="84"/>
    </row>
    <row r="49" spans="1:13">
      <c r="A49" s="84"/>
      <c r="B49" s="86"/>
      <c r="C49" s="88"/>
      <c r="D49" s="84"/>
      <c r="E49" s="84"/>
      <c r="F49" s="88"/>
      <c r="G49" s="87"/>
      <c r="H49" s="88"/>
      <c r="I49" s="87"/>
      <c r="J49" s="84"/>
      <c r="K49" s="84"/>
      <c r="L49" s="84"/>
      <c r="M49" s="84"/>
    </row>
    <row r="50" spans="1:13">
      <c r="A50" s="84"/>
      <c r="B50" s="86"/>
      <c r="C50" s="88"/>
      <c r="D50" s="84"/>
      <c r="E50" s="84"/>
      <c r="F50" s="88"/>
      <c r="G50" s="87"/>
      <c r="H50" s="88"/>
      <c r="I50" s="87"/>
      <c r="J50" s="84"/>
      <c r="K50" s="84"/>
      <c r="L50" s="84"/>
      <c r="M50" s="84"/>
    </row>
    <row r="51" spans="1:13">
      <c r="A51" s="84"/>
      <c r="B51" s="86"/>
      <c r="C51" s="88"/>
      <c r="D51" s="84"/>
      <c r="E51" s="84"/>
      <c r="F51" s="88"/>
      <c r="G51" s="87"/>
      <c r="H51" s="88"/>
      <c r="I51" s="87"/>
      <c r="J51" s="84"/>
      <c r="K51" s="84"/>
      <c r="L51" s="84"/>
      <c r="M51" s="84"/>
    </row>
    <row r="52" spans="1:13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</row>
    <row r="53" spans="1:13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</row>
    <row r="54" spans="1:13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41"/>
  <sheetViews>
    <sheetView zoomScaleNormal="100" workbookViewId="0">
      <selection activeCell="A12" sqref="A12"/>
    </sheetView>
  </sheetViews>
  <sheetFormatPr defaultRowHeight="14.5"/>
  <cols>
    <col min="1" max="1" width="29.26953125" style="21" customWidth="1"/>
    <col min="2" max="2" width="21.453125" customWidth="1"/>
    <col min="3" max="3" width="18.36328125" customWidth="1"/>
    <col min="4" max="4" width="20.453125" customWidth="1"/>
    <col min="5" max="5" width="13.1796875" customWidth="1"/>
    <col min="6" max="6" width="14.26953125" customWidth="1"/>
    <col min="7" max="7" width="14" customWidth="1"/>
    <col min="8" max="9" width="14.81640625" customWidth="1"/>
    <col min="10" max="10" width="15.54296875" customWidth="1"/>
    <col min="11" max="11" width="17" customWidth="1"/>
    <col min="12" max="15" width="17" style="105" customWidth="1"/>
    <col min="16" max="17" width="14.54296875" customWidth="1"/>
    <col min="18" max="18" width="13.26953125" customWidth="1"/>
  </cols>
  <sheetData>
    <row r="1" spans="1:23">
      <c r="B1" s="1" t="s">
        <v>275</v>
      </c>
      <c r="C1" s="1"/>
      <c r="P1" s="1"/>
    </row>
    <row r="2" spans="1:23" ht="72.5">
      <c r="A2" s="24" t="s">
        <v>35</v>
      </c>
      <c r="B2" t="s">
        <v>0</v>
      </c>
      <c r="C2" s="117" t="s">
        <v>91</v>
      </c>
      <c r="D2" s="117" t="s">
        <v>34</v>
      </c>
      <c r="E2" s="89" t="s">
        <v>267</v>
      </c>
      <c r="F2" s="90" t="s">
        <v>31</v>
      </c>
      <c r="G2" s="82" t="s">
        <v>268</v>
      </c>
      <c r="H2" s="95" t="s">
        <v>269</v>
      </c>
      <c r="I2" s="96" t="s">
        <v>41</v>
      </c>
      <c r="J2" s="90" t="s">
        <v>9</v>
      </c>
      <c r="K2" s="95" t="s">
        <v>40</v>
      </c>
      <c r="L2" s="95" t="s">
        <v>41</v>
      </c>
      <c r="M2" s="131" t="s">
        <v>46</v>
      </c>
      <c r="N2" s="131" t="s">
        <v>49</v>
      </c>
      <c r="O2" s="123" t="s">
        <v>48</v>
      </c>
      <c r="P2" s="123" t="s">
        <v>41</v>
      </c>
      <c r="Q2" s="90" t="s">
        <v>32</v>
      </c>
      <c r="R2" s="134" t="s">
        <v>76</v>
      </c>
      <c r="S2" s="115" t="s">
        <v>41</v>
      </c>
      <c r="T2" s="117" t="s">
        <v>74</v>
      </c>
      <c r="U2" s="142" t="s">
        <v>75</v>
      </c>
      <c r="V2" s="95" t="s">
        <v>22</v>
      </c>
    </row>
    <row r="3" spans="1:23" ht="34.5" customHeight="1">
      <c r="B3" s="91">
        <v>601493.01599999995</v>
      </c>
      <c r="C3" s="91" t="s">
        <v>131</v>
      </c>
      <c r="D3" s="91">
        <v>6.7</v>
      </c>
      <c r="E3" s="91">
        <v>1.9</v>
      </c>
      <c r="F3" s="91">
        <v>1.3</v>
      </c>
      <c r="G3" s="94">
        <f>F3-E3</f>
        <v>-0.59999999999999987</v>
      </c>
      <c r="H3" s="98">
        <f>G3*0.99</f>
        <v>-0.59399999999999986</v>
      </c>
      <c r="I3" s="97">
        <f>$C$12+(H3-G3)</f>
        <v>0.10600000000000001</v>
      </c>
      <c r="J3" s="93">
        <f>E3</f>
        <v>1.9</v>
      </c>
      <c r="K3" s="99">
        <f>J3*0.99</f>
        <v>1.881</v>
      </c>
      <c r="L3" s="99">
        <f>J3-K3</f>
        <v>1.8999999999999906E-2</v>
      </c>
      <c r="M3" s="132">
        <v>1.4</v>
      </c>
      <c r="N3" s="132">
        <f>J3-M3</f>
        <v>0.5</v>
      </c>
      <c r="O3" s="127">
        <f>N3*0.99</f>
        <v>0.495</v>
      </c>
      <c r="P3" s="127">
        <f>N3-O3</f>
        <v>5.0000000000000044E-3</v>
      </c>
      <c r="Q3" s="101" t="s">
        <v>16</v>
      </c>
      <c r="R3" s="100">
        <f>$C$15-$C$18</f>
        <v>-1.1453893086532396</v>
      </c>
      <c r="S3" s="100">
        <f>SQRT(($C$16^2)+($C$19^2))</f>
        <v>0.36055512754639896</v>
      </c>
      <c r="T3" s="100">
        <f>R3-H3</f>
        <v>-0.55138930865323976</v>
      </c>
      <c r="U3" s="97">
        <f>T3/K3</f>
        <v>-0.29313626191028164</v>
      </c>
      <c r="V3" s="97">
        <f>U3*(SQRT(((I3/H3)^2)+((S3/R3)^2)))</f>
        <v>-0.10607178582661016</v>
      </c>
      <c r="W3" t="s">
        <v>1</v>
      </c>
    </row>
    <row r="4" spans="1:23">
      <c r="B4" s="91">
        <v>601493.01699999999</v>
      </c>
      <c r="C4" s="91" t="s">
        <v>132</v>
      </c>
      <c r="D4" s="91">
        <v>6.2</v>
      </c>
      <c r="E4" s="91">
        <v>1.3</v>
      </c>
      <c r="F4" s="91">
        <v>0.3</v>
      </c>
      <c r="G4" s="94">
        <f t="shared" ref="G4:G5" si="0">F4-E4</f>
        <v>-1</v>
      </c>
      <c r="H4" s="98">
        <f t="shared" ref="H4:H5" si="1">G4*0.99</f>
        <v>-0.99</v>
      </c>
      <c r="I4" s="97">
        <f t="shared" ref="I4:I5" si="2">$C$12+(H4-G4)</f>
        <v>0.11000000000000001</v>
      </c>
      <c r="J4" s="93">
        <f t="shared" ref="J4:J5" si="3">E4</f>
        <v>1.3</v>
      </c>
      <c r="K4" s="99">
        <f t="shared" ref="K4:K5" si="4">J4*0.99</f>
        <v>1.2869999999999999</v>
      </c>
      <c r="L4" s="99">
        <f t="shared" ref="L4:L5" si="5">J4-K4</f>
        <v>1.3000000000000123E-2</v>
      </c>
      <c r="M4" s="132">
        <v>0.7</v>
      </c>
      <c r="N4" s="132">
        <f t="shared" ref="N4:N5" si="6">J4-M4</f>
        <v>0.60000000000000009</v>
      </c>
      <c r="O4" s="127">
        <f t="shared" ref="O4:O5" si="7">N4*0.99</f>
        <v>0.59400000000000008</v>
      </c>
      <c r="P4" s="127">
        <f t="shared" ref="P4:P5" si="8">N4-O4</f>
        <v>6.0000000000000053E-3</v>
      </c>
      <c r="Q4" s="45"/>
      <c r="R4" s="140">
        <f t="shared" ref="R4:R5" si="9">$C$15-$C$18</f>
        <v>-1.1453893086532396</v>
      </c>
      <c r="S4" s="140">
        <f t="shared" ref="S4:S5" si="10">SQRT(($C$16^2)+($C$19^2))</f>
        <v>0.36055512754639896</v>
      </c>
      <c r="T4" s="100">
        <f>R4-H4</f>
        <v>-0.15538930865323963</v>
      </c>
      <c r="U4" s="97">
        <f>T4/K4</f>
        <v>-0.12073761356118076</v>
      </c>
      <c r="V4" s="97">
        <f>U4*(SQRT(((I4/H4)^2)+((S4/R4)^2)))</f>
        <v>-4.0304909788906336E-2</v>
      </c>
      <c r="W4" t="s">
        <v>2</v>
      </c>
    </row>
    <row r="5" spans="1:23">
      <c r="B5" s="91">
        <v>601493.01800000004</v>
      </c>
      <c r="C5" s="91" t="s">
        <v>133</v>
      </c>
      <c r="D5" s="91">
        <v>4.9000000000000004</v>
      </c>
      <c r="E5" s="91">
        <v>1.2</v>
      </c>
      <c r="F5" s="91">
        <v>0.6</v>
      </c>
      <c r="G5" s="94">
        <f t="shared" si="0"/>
        <v>-0.6</v>
      </c>
      <c r="H5" s="98">
        <f t="shared" si="1"/>
        <v>-0.59399999999999997</v>
      </c>
      <c r="I5" s="97">
        <f t="shared" si="2"/>
        <v>0.10600000000000001</v>
      </c>
      <c r="J5" s="93">
        <f t="shared" si="3"/>
        <v>1.2</v>
      </c>
      <c r="K5" s="99">
        <f t="shared" si="4"/>
        <v>1.1879999999999999</v>
      </c>
      <c r="L5" s="99">
        <f t="shared" si="5"/>
        <v>1.2000000000000011E-2</v>
      </c>
      <c r="M5" s="132">
        <v>0.9</v>
      </c>
      <c r="N5" s="132">
        <f t="shared" si="6"/>
        <v>0.29999999999999993</v>
      </c>
      <c r="O5" s="127">
        <f t="shared" si="7"/>
        <v>0.29699999999999993</v>
      </c>
      <c r="P5" s="127">
        <f t="shared" si="8"/>
        <v>3.0000000000000027E-3</v>
      </c>
      <c r="Q5" s="45"/>
      <c r="R5" s="140">
        <f t="shared" si="9"/>
        <v>-1.1453893086532396</v>
      </c>
      <c r="S5" s="140">
        <f t="shared" si="10"/>
        <v>0.36055512754639896</v>
      </c>
      <c r="T5" s="100">
        <f>R5-H5</f>
        <v>-0.55138930865323965</v>
      </c>
      <c r="U5" s="97">
        <f>T5/K5</f>
        <v>-0.46413241469127919</v>
      </c>
      <c r="V5" s="97">
        <f>U5*(SQRT(((I5/H5)^2)+((S5/R5)^2)))</f>
        <v>-0.16794699422546605</v>
      </c>
      <c r="W5" t="s">
        <v>3</v>
      </c>
    </row>
    <row r="6" spans="1:23">
      <c r="B6" s="53"/>
      <c r="C6" s="53"/>
      <c r="D6" s="53"/>
      <c r="E6" s="53"/>
      <c r="F6" s="53"/>
      <c r="G6" s="43"/>
      <c r="H6" s="83"/>
      <c r="I6" s="83"/>
      <c r="J6" s="83"/>
      <c r="K6" s="83"/>
      <c r="L6" s="109"/>
      <c r="M6" s="109"/>
      <c r="N6" s="109"/>
      <c r="O6" s="109"/>
      <c r="P6" s="7"/>
      <c r="Q6" s="7"/>
      <c r="R6" s="7"/>
      <c r="S6" s="7"/>
      <c r="T6" s="7"/>
      <c r="U6" s="9"/>
    </row>
    <row r="7" spans="1:23" ht="29">
      <c r="B7" s="1" t="s">
        <v>4</v>
      </c>
      <c r="E7" s="6"/>
      <c r="F7" s="4" t="s">
        <v>9</v>
      </c>
      <c r="G7" s="107" t="s">
        <v>265</v>
      </c>
      <c r="H7" s="15"/>
      <c r="I7" s="15"/>
      <c r="J7" s="15"/>
      <c r="K7" s="18"/>
      <c r="L7" s="116"/>
      <c r="M7" s="116"/>
      <c r="N7" s="116"/>
      <c r="O7" s="116"/>
      <c r="P7" s="18"/>
      <c r="Q7" s="18"/>
      <c r="R7" s="18"/>
      <c r="S7" s="15"/>
      <c r="T7" s="15"/>
      <c r="U7" s="9"/>
    </row>
    <row r="8" spans="1:23">
      <c r="B8" s="21" t="s">
        <v>37</v>
      </c>
      <c r="C8" s="29">
        <f>AVERAGE(G3:G5)</f>
        <v>-0.73333333333333328</v>
      </c>
      <c r="E8" s="6"/>
      <c r="F8" s="29">
        <f>AVERAGE(J3:J5)</f>
        <v>1.4666666666666668</v>
      </c>
      <c r="G8" s="29">
        <f>STDEV(J3:J5)</f>
        <v>0.3785938897200179</v>
      </c>
      <c r="H8" s="9"/>
      <c r="I8" s="9"/>
      <c r="J8" s="9"/>
      <c r="K8" s="16"/>
      <c r="L8" s="114"/>
      <c r="M8" s="114"/>
      <c r="N8" s="114"/>
      <c r="O8" s="114"/>
      <c r="P8" s="16"/>
      <c r="Q8" s="16"/>
      <c r="R8" s="16"/>
      <c r="S8" s="9"/>
      <c r="T8" s="9"/>
      <c r="U8" s="9"/>
    </row>
    <row r="9" spans="1:23" ht="16.5">
      <c r="A9" s="33" t="s">
        <v>82</v>
      </c>
      <c r="B9" s="135" t="s">
        <v>88</v>
      </c>
      <c r="C9" s="31">
        <f>C8*0.99</f>
        <v>-0.72599999999999998</v>
      </c>
      <c r="E9" s="1" t="s">
        <v>23</v>
      </c>
      <c r="F9" s="14">
        <f>F8*0.99</f>
        <v>1.4520000000000002</v>
      </c>
      <c r="G9" s="14">
        <f>G8+(F8-F9)</f>
        <v>0.3932605563866845</v>
      </c>
      <c r="H9" s="9"/>
      <c r="I9" s="9"/>
      <c r="J9" s="9"/>
      <c r="K9" s="9"/>
      <c r="L9" s="110"/>
      <c r="M9" s="110"/>
      <c r="N9" s="110"/>
      <c r="O9" s="110"/>
      <c r="P9" s="9"/>
      <c r="Q9" s="9"/>
      <c r="R9" s="9"/>
      <c r="S9" s="9"/>
      <c r="T9" s="9"/>
      <c r="U9" s="9"/>
    </row>
    <row r="10" spans="1:23" s="6" customFormat="1">
      <c r="A10" s="133"/>
      <c r="B10" s="6" t="s">
        <v>26</v>
      </c>
      <c r="C10" s="29">
        <f>STDEV(G3:G5)</f>
        <v>0.23094010767585033</v>
      </c>
      <c r="E10" s="1"/>
      <c r="F10" s="16"/>
      <c r="G10" s="16"/>
      <c r="H10" s="9"/>
      <c r="I10" s="9"/>
      <c r="J10" s="9"/>
      <c r="K10" s="9"/>
      <c r="L10" s="110"/>
      <c r="M10" s="110"/>
      <c r="N10" s="110"/>
      <c r="O10" s="110"/>
      <c r="P10" s="9"/>
      <c r="Q10" s="9"/>
      <c r="R10" s="9"/>
      <c r="S10" s="9"/>
      <c r="T10" s="9"/>
      <c r="U10" s="9"/>
    </row>
    <row r="11" spans="1:23">
      <c r="A11" s="133"/>
      <c r="B11" s="6" t="s">
        <v>27</v>
      </c>
      <c r="C11" s="29">
        <f>C8-C9</f>
        <v>-7.3333333333333028E-3</v>
      </c>
      <c r="H11" s="9"/>
      <c r="I11" s="9"/>
      <c r="J11" s="9"/>
      <c r="K11" s="9"/>
      <c r="L11" s="110"/>
      <c r="M11" s="110"/>
      <c r="N11" s="110"/>
      <c r="O11" s="110"/>
      <c r="P11" s="9"/>
      <c r="Q11" s="9"/>
      <c r="R11" s="9"/>
      <c r="S11" s="9"/>
      <c r="T11" s="9"/>
      <c r="U11" s="9"/>
    </row>
    <row r="12" spans="1:23">
      <c r="A12" s="23" t="s">
        <v>282</v>
      </c>
      <c r="B12" s="6" t="s">
        <v>28</v>
      </c>
      <c r="C12" s="138">
        <v>0.1</v>
      </c>
      <c r="F12" s="10"/>
    </row>
    <row r="13" spans="1:23" ht="44.5">
      <c r="A13" s="158" t="s">
        <v>83</v>
      </c>
      <c r="B13" s="1" t="s">
        <v>25</v>
      </c>
      <c r="C13" s="31">
        <f>(SQRT(C12^2+C10^2))+ABS(C11)</f>
        <v>0.25899448117569168</v>
      </c>
      <c r="E13" s="105"/>
      <c r="F13" s="107" t="s">
        <v>47</v>
      </c>
      <c r="G13" s="107" t="s">
        <v>265</v>
      </c>
    </row>
    <row r="14" spans="1:23" s="21" customFormat="1">
      <c r="A14" s="133"/>
      <c r="B14" s="135"/>
      <c r="C14" s="138"/>
      <c r="E14" s="105"/>
      <c r="F14" s="121">
        <f>AVERAGE(N3:N5)</f>
        <v>0.46666666666666662</v>
      </c>
      <c r="G14" s="121">
        <f>STDEV(N3:N5)</f>
        <v>0.15275252316519497</v>
      </c>
      <c r="L14" s="105"/>
      <c r="M14" s="105"/>
      <c r="N14" s="105"/>
      <c r="O14" s="105"/>
    </row>
    <row r="15" spans="1:23" s="21" customFormat="1" ht="16.5">
      <c r="A15" s="33" t="s">
        <v>84</v>
      </c>
      <c r="B15" s="133" t="s">
        <v>61</v>
      </c>
      <c r="C15" s="113">
        <v>-0.4</v>
      </c>
      <c r="E15" s="106" t="s">
        <v>23</v>
      </c>
      <c r="F15" s="113">
        <f>F14*0.99</f>
        <v>0.46199999999999997</v>
      </c>
      <c r="G15" s="113">
        <f>G14+(F14-F15)</f>
        <v>0.15741918983186162</v>
      </c>
      <c r="L15" s="105"/>
      <c r="M15" s="105"/>
      <c r="N15" s="105"/>
      <c r="O15" s="105"/>
    </row>
    <row r="16" spans="1:23" s="21" customFormat="1">
      <c r="A16" s="23" t="s">
        <v>66</v>
      </c>
      <c r="B16" s="133" t="s">
        <v>41</v>
      </c>
      <c r="C16" s="113">
        <v>0.2</v>
      </c>
      <c r="F16" s="9"/>
      <c r="L16" s="105"/>
      <c r="M16" s="105"/>
      <c r="N16" s="105"/>
      <c r="O16" s="105"/>
    </row>
    <row r="17" spans="1:11">
      <c r="A17" s="133"/>
      <c r="B17" s="135"/>
      <c r="C17" s="138"/>
      <c r="F17" s="9"/>
    </row>
    <row r="18" spans="1:11">
      <c r="A18" s="33" t="s">
        <v>81</v>
      </c>
      <c r="B18" s="133" t="s">
        <v>70</v>
      </c>
      <c r="C18" s="113">
        <f>0-((-0.6*C21)-0.3)</f>
        <v>0.74538930865323971</v>
      </c>
      <c r="F18" s="9"/>
    </row>
    <row r="19" spans="1:11">
      <c r="A19" s="23" t="s">
        <v>67</v>
      </c>
      <c r="B19" s="133" t="s">
        <v>41</v>
      </c>
      <c r="C19" s="113">
        <v>0.3</v>
      </c>
      <c r="F19" s="9"/>
    </row>
    <row r="20" spans="1:11">
      <c r="A20" s="133"/>
      <c r="F20" s="9"/>
    </row>
    <row r="21" spans="1:11">
      <c r="A21" s="33" t="s">
        <v>30</v>
      </c>
      <c r="B21" s="21" t="s">
        <v>36</v>
      </c>
      <c r="C21" s="30">
        <v>0.74231551442206611</v>
      </c>
      <c r="F21" s="9"/>
    </row>
    <row r="22" spans="1:11">
      <c r="A22" s="23" t="s">
        <v>68</v>
      </c>
      <c r="B22" s="21" t="s">
        <v>22</v>
      </c>
      <c r="C22" s="31">
        <v>5.8859364573723753E-2</v>
      </c>
      <c r="F22" s="9"/>
    </row>
    <row r="23" spans="1:11">
      <c r="A23" s="23"/>
      <c r="F23" s="9"/>
    </row>
    <row r="24" spans="1:11">
      <c r="A24" s="23"/>
      <c r="B24" s="141"/>
      <c r="C24" s="139"/>
      <c r="F24" s="9"/>
    </row>
    <row r="25" spans="1:11">
      <c r="A25" s="33" t="s">
        <v>29</v>
      </c>
      <c r="B25" s="111" t="s">
        <v>10</v>
      </c>
      <c r="C25" s="13">
        <f>(C9-C15)+C18</f>
        <v>0.41938930865323976</v>
      </c>
      <c r="F25" s="9"/>
    </row>
    <row r="26" spans="1:11">
      <c r="A26" s="33"/>
      <c r="B26" s="111" t="s">
        <v>41</v>
      </c>
      <c r="C26" s="13">
        <f>SQRT(C13^2+C16^2+C19^2)</f>
        <v>0.44393483900170044</v>
      </c>
      <c r="F26" s="9"/>
    </row>
    <row r="27" spans="1:11">
      <c r="A27" s="33"/>
      <c r="B27" s="111"/>
      <c r="C27" s="138"/>
      <c r="D27" s="9"/>
      <c r="F27" s="9"/>
    </row>
    <row r="28" spans="1:11">
      <c r="A28" s="33" t="s">
        <v>85</v>
      </c>
      <c r="B28" s="135" t="s">
        <v>11</v>
      </c>
      <c r="C28" s="13">
        <f>C25/C21</f>
        <v>0.56497446234807258</v>
      </c>
      <c r="D28" s="9"/>
      <c r="F28" s="9"/>
    </row>
    <row r="29" spans="1:11">
      <c r="A29" s="23"/>
      <c r="B29" s="135" t="s">
        <v>69</v>
      </c>
      <c r="C29" s="13">
        <f>ABS(C28*(SQRT((C26/C25)^2)+((C22/C21)^2)))</f>
        <v>0.60159271264762348</v>
      </c>
      <c r="F29" s="9"/>
    </row>
    <row r="30" spans="1:11">
      <c r="A30" s="159"/>
      <c r="B30" s="111"/>
      <c r="C30" s="138"/>
      <c r="F30" s="9"/>
    </row>
    <row r="31" spans="1:11">
      <c r="A31" s="159"/>
      <c r="B31" s="111"/>
      <c r="C31" s="138"/>
      <c r="D31" s="6"/>
      <c r="E31" s="6"/>
      <c r="F31" s="6"/>
      <c r="G31" s="6"/>
      <c r="H31" s="6"/>
      <c r="I31" s="6"/>
      <c r="J31" s="85"/>
    </row>
    <row r="32" spans="1:11">
      <c r="A32" s="159"/>
      <c r="B32" s="111"/>
      <c r="C32" s="138"/>
      <c r="D32" s="6"/>
      <c r="E32" s="6"/>
      <c r="F32" s="6"/>
      <c r="G32" s="6"/>
      <c r="H32" s="6"/>
      <c r="I32" s="6"/>
      <c r="J32" s="6"/>
      <c r="K32" s="6"/>
    </row>
    <row r="33" spans="1:16">
      <c r="A33" s="159"/>
      <c r="B33" s="111"/>
      <c r="C33" s="138"/>
      <c r="D33" s="89"/>
      <c r="E33" s="89"/>
      <c r="F33" s="89"/>
      <c r="G33" s="89"/>
      <c r="H33" s="89"/>
      <c r="I33" s="89"/>
      <c r="J33" s="89"/>
      <c r="K33" s="89"/>
      <c r="L33" s="115"/>
      <c r="M33" s="115"/>
      <c r="N33" s="115"/>
      <c r="O33" s="115"/>
      <c r="P33" s="84"/>
    </row>
    <row r="34" spans="1:16">
      <c r="A34" s="141"/>
      <c r="B34" s="111"/>
      <c r="C34" s="138"/>
      <c r="D34" s="84"/>
      <c r="E34" s="84"/>
      <c r="F34" s="88"/>
      <c r="G34" s="87"/>
      <c r="H34" s="88"/>
      <c r="I34" s="87"/>
      <c r="J34" s="84"/>
      <c r="K34" s="84"/>
      <c r="L34" s="110"/>
      <c r="M34" s="110"/>
      <c r="N34" s="110"/>
      <c r="O34" s="110"/>
      <c r="P34" s="84"/>
    </row>
    <row r="35" spans="1:16">
      <c r="A35" s="141"/>
      <c r="B35" s="141"/>
      <c r="C35" s="141"/>
      <c r="D35" s="84"/>
      <c r="E35" s="84"/>
      <c r="F35" s="88"/>
      <c r="G35" s="87"/>
      <c r="H35" s="88"/>
      <c r="I35" s="87"/>
      <c r="J35" s="84"/>
      <c r="K35" s="84"/>
      <c r="L35" s="110"/>
      <c r="M35" s="110"/>
      <c r="N35" s="110"/>
      <c r="O35" s="110"/>
      <c r="P35" s="84"/>
    </row>
    <row r="36" spans="1:16">
      <c r="A36" s="141"/>
      <c r="B36" s="115"/>
      <c r="C36" s="115"/>
      <c r="D36" s="84"/>
      <c r="E36" s="84"/>
      <c r="F36" s="88"/>
      <c r="G36" s="87"/>
      <c r="H36" s="88"/>
      <c r="I36" s="87"/>
      <c r="J36" s="84"/>
      <c r="K36" s="84"/>
      <c r="L36" s="110"/>
      <c r="M36" s="110"/>
      <c r="N36" s="110"/>
      <c r="O36" s="110"/>
      <c r="P36" s="84"/>
    </row>
    <row r="37" spans="1:16">
      <c r="A37" s="141"/>
      <c r="B37" s="86"/>
      <c r="C37" s="139"/>
      <c r="D37" s="84"/>
      <c r="E37" s="84"/>
      <c r="F37" s="84"/>
      <c r="G37" s="84"/>
      <c r="H37" s="84"/>
      <c r="I37" s="84"/>
      <c r="J37" s="84"/>
      <c r="K37" s="84"/>
      <c r="L37" s="110"/>
      <c r="M37" s="110"/>
      <c r="N37" s="110"/>
      <c r="O37" s="110"/>
      <c r="P37" s="84"/>
    </row>
    <row r="38" spans="1:16">
      <c r="B38" s="86"/>
      <c r="C38" s="88"/>
      <c r="D38" s="84"/>
      <c r="E38" s="84"/>
      <c r="F38" s="84"/>
      <c r="G38" s="84"/>
      <c r="H38" s="84"/>
      <c r="I38" s="84"/>
      <c r="J38" s="84"/>
      <c r="K38" s="84"/>
      <c r="L38" s="110"/>
      <c r="M38" s="110"/>
      <c r="N38" s="110"/>
      <c r="O38" s="110"/>
      <c r="P38" s="84"/>
    </row>
    <row r="39" spans="1:16">
      <c r="B39" s="86"/>
      <c r="C39" s="88"/>
    </row>
    <row r="40" spans="1:16">
      <c r="B40" s="84"/>
      <c r="C40" s="84"/>
    </row>
    <row r="41" spans="1:16">
      <c r="B41" s="84"/>
      <c r="C41" s="84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49"/>
  <sheetViews>
    <sheetView zoomScale="80" zoomScaleNormal="80" workbookViewId="0">
      <selection activeCell="A15" sqref="A15"/>
    </sheetView>
  </sheetViews>
  <sheetFormatPr defaultRowHeight="14.5"/>
  <cols>
    <col min="1" max="1" width="35.81640625" style="21" customWidth="1"/>
    <col min="2" max="2" width="21.453125" customWidth="1"/>
    <col min="3" max="3" width="19" customWidth="1"/>
    <col min="4" max="4" width="20.453125" customWidth="1"/>
    <col min="5" max="5" width="13.1796875" customWidth="1"/>
    <col min="6" max="6" width="14.26953125" customWidth="1"/>
    <col min="7" max="7" width="14" customWidth="1"/>
    <col min="8" max="9" width="14.81640625" customWidth="1"/>
    <col min="10" max="11" width="15.54296875" customWidth="1"/>
    <col min="12" max="12" width="16.453125" customWidth="1"/>
    <col min="13" max="14" width="14.54296875" customWidth="1"/>
    <col min="15" max="16" width="13.26953125" customWidth="1"/>
  </cols>
  <sheetData>
    <row r="1" spans="1:21">
      <c r="B1" s="1" t="s">
        <v>274</v>
      </c>
      <c r="C1" s="81"/>
      <c r="D1" s="81"/>
      <c r="E1" s="81"/>
      <c r="F1" s="81"/>
      <c r="G1" s="81"/>
      <c r="H1" s="81"/>
      <c r="I1" s="81"/>
      <c r="J1" s="1"/>
      <c r="T1" s="1"/>
    </row>
    <row r="2" spans="1:21" ht="72.5">
      <c r="A2" s="24" t="s">
        <v>35</v>
      </c>
      <c r="B2" t="s">
        <v>0</v>
      </c>
      <c r="C2" s="117" t="s">
        <v>89</v>
      </c>
      <c r="D2" s="117" t="s">
        <v>34</v>
      </c>
      <c r="E2" s="89" t="s">
        <v>267</v>
      </c>
      <c r="F2" s="90" t="s">
        <v>31</v>
      </c>
      <c r="G2" s="82" t="s">
        <v>268</v>
      </c>
      <c r="H2" s="95" t="s">
        <v>269</v>
      </c>
      <c r="I2" s="96" t="s">
        <v>41</v>
      </c>
      <c r="J2" s="90" t="s">
        <v>9</v>
      </c>
      <c r="K2" s="95" t="s">
        <v>40</v>
      </c>
      <c r="L2" s="95" t="s">
        <v>41</v>
      </c>
      <c r="M2" s="90" t="s">
        <v>32</v>
      </c>
      <c r="N2" s="134" t="s">
        <v>76</v>
      </c>
      <c r="O2" s="115" t="s">
        <v>41</v>
      </c>
      <c r="P2" s="117" t="s">
        <v>74</v>
      </c>
      <c r="Q2" s="142" t="s">
        <v>75</v>
      </c>
      <c r="R2" s="123" t="s">
        <v>22</v>
      </c>
      <c r="U2" s="2"/>
    </row>
    <row r="3" spans="1:21">
      <c r="A3" s="80" t="s">
        <v>45</v>
      </c>
      <c r="B3" s="102">
        <v>601593.00199999998</v>
      </c>
      <c r="C3" s="161" t="s">
        <v>134</v>
      </c>
      <c r="D3" s="102">
        <v>9.4</v>
      </c>
      <c r="E3" s="102"/>
      <c r="F3" s="102">
        <v>1.6</v>
      </c>
      <c r="G3" s="94"/>
      <c r="H3" s="98"/>
      <c r="I3" s="97"/>
      <c r="J3" s="93"/>
      <c r="K3" s="99"/>
      <c r="L3" s="99"/>
      <c r="M3" s="101"/>
      <c r="N3" s="128"/>
      <c r="O3" s="128"/>
      <c r="P3" s="128"/>
      <c r="Q3" s="125"/>
      <c r="R3" s="125"/>
    </row>
    <row r="4" spans="1:21" ht="38.25" customHeight="1">
      <c r="B4" s="102">
        <v>601593.00100000005</v>
      </c>
      <c r="C4" s="161" t="s">
        <v>135</v>
      </c>
      <c r="D4" s="102">
        <v>11.4</v>
      </c>
      <c r="E4" s="102">
        <v>3.3</v>
      </c>
      <c r="F4" s="102">
        <v>0.9</v>
      </c>
      <c r="G4" s="94">
        <f t="shared" ref="G4:G7" si="0">F4-E4</f>
        <v>-2.4</v>
      </c>
      <c r="H4" s="98">
        <f t="shared" ref="H4:H7" si="1">G4*0.99</f>
        <v>-2.3759999999999999</v>
      </c>
      <c r="I4" s="97">
        <f>$C$15+(H4-G4)</f>
        <v>0.12400000000000003</v>
      </c>
      <c r="J4" s="93">
        <f t="shared" ref="J4:J7" si="2">E4</f>
        <v>3.3</v>
      </c>
      <c r="K4" s="99">
        <f t="shared" ref="K4:K7" si="3">J4*0.99</f>
        <v>3.2669999999999999</v>
      </c>
      <c r="L4" s="99">
        <f t="shared" ref="L4:L7" si="4">J4-K4</f>
        <v>3.2999999999999918E-2</v>
      </c>
      <c r="M4" s="104" t="s">
        <v>17</v>
      </c>
      <c r="N4" s="128">
        <f>$C$18-$C$21</f>
        <v>-1.5768936218426397</v>
      </c>
      <c r="O4" s="128">
        <f>SQRT(($C$19^2)+($C$22^2))</f>
        <v>0.36055512754639896</v>
      </c>
      <c r="P4" s="128">
        <f t="shared" ref="P4:P7" si="5">N4-H4</f>
        <v>0.79910637815736019</v>
      </c>
      <c r="Q4" s="125">
        <f t="shared" ref="Q4:Q7" si="6">P4/K4</f>
        <v>0.24459944234997252</v>
      </c>
      <c r="R4" s="125">
        <f t="shared" ref="R4:R7" si="7">Q4*(SQRT(((I4/H4)^2)+((O4/N4)^2)))</f>
        <v>5.7365741827731936E-2</v>
      </c>
      <c r="T4" s="5"/>
    </row>
    <row r="5" spans="1:21">
      <c r="B5" s="102">
        <v>601493.02099999995</v>
      </c>
      <c r="C5" s="161" t="s">
        <v>136</v>
      </c>
      <c r="D5" s="102">
        <v>10.1</v>
      </c>
      <c r="E5" s="102">
        <v>3.9</v>
      </c>
      <c r="F5" s="102">
        <v>0.9</v>
      </c>
      <c r="G5" s="94">
        <f t="shared" si="0"/>
        <v>-3</v>
      </c>
      <c r="H5" s="98">
        <f t="shared" si="1"/>
        <v>-2.9699999999999998</v>
      </c>
      <c r="I5" s="97">
        <f t="shared" ref="I5:I7" si="8">$C$15+(H5-G5)</f>
        <v>0.13000000000000025</v>
      </c>
      <c r="J5" s="93">
        <f t="shared" si="2"/>
        <v>3.9</v>
      </c>
      <c r="K5" s="99">
        <f t="shared" si="3"/>
        <v>3.8609999999999998</v>
      </c>
      <c r="L5" s="99">
        <f t="shared" si="4"/>
        <v>3.9000000000000146E-2</v>
      </c>
      <c r="M5" s="120"/>
      <c r="N5" s="140">
        <f t="shared" ref="N5:N7" si="9">$C$18-$C$21</f>
        <v>-1.5768936218426397</v>
      </c>
      <c r="O5" s="140">
        <f t="shared" ref="O5:O7" si="10">SQRT(($C$19^2)+($C$22^2))</f>
        <v>0.36055512754639896</v>
      </c>
      <c r="P5" s="128">
        <f t="shared" si="5"/>
        <v>1.39310637815736</v>
      </c>
      <c r="Q5" s="125">
        <f t="shared" si="6"/>
        <v>0.36081491275766903</v>
      </c>
      <c r="R5" s="125">
        <f t="shared" si="7"/>
        <v>8.3998039520595896E-2</v>
      </c>
    </row>
    <row r="6" spans="1:21">
      <c r="A6" s="80" t="s">
        <v>6</v>
      </c>
      <c r="B6" s="102">
        <v>601493.01899999997</v>
      </c>
      <c r="C6" s="161" t="s">
        <v>137</v>
      </c>
      <c r="D6" s="102">
        <v>10.5</v>
      </c>
      <c r="E6" s="102"/>
      <c r="F6" s="102">
        <v>2.5</v>
      </c>
      <c r="G6" s="94"/>
      <c r="H6" s="98"/>
      <c r="I6" s="97"/>
      <c r="J6" s="93"/>
      <c r="K6" s="99"/>
      <c r="L6" s="99"/>
      <c r="M6" s="120"/>
      <c r="N6" s="140">
        <f t="shared" si="9"/>
        <v>-1.5768936218426397</v>
      </c>
      <c r="O6" s="140">
        <f t="shared" si="10"/>
        <v>0.36055512754639896</v>
      </c>
      <c r="P6" s="128"/>
      <c r="Q6" s="125"/>
      <c r="R6" s="125"/>
    </row>
    <row r="7" spans="1:21">
      <c r="B7" s="103">
        <v>601493.02</v>
      </c>
      <c r="C7" s="162" t="s">
        <v>138</v>
      </c>
      <c r="D7" s="92">
        <v>9.6999999999999993</v>
      </c>
      <c r="E7" s="92">
        <v>4.9000000000000004</v>
      </c>
      <c r="F7" s="92">
        <v>0.9</v>
      </c>
      <c r="G7" s="94">
        <f t="shared" si="0"/>
        <v>-4</v>
      </c>
      <c r="H7" s="98">
        <f t="shared" si="1"/>
        <v>-3.96</v>
      </c>
      <c r="I7" s="97">
        <f t="shared" si="8"/>
        <v>0.14000000000000004</v>
      </c>
      <c r="J7" s="93">
        <f t="shared" si="2"/>
        <v>4.9000000000000004</v>
      </c>
      <c r="K7" s="99">
        <f t="shared" si="3"/>
        <v>4.851</v>
      </c>
      <c r="L7" s="99">
        <f t="shared" si="4"/>
        <v>4.9000000000000377E-2</v>
      </c>
      <c r="M7" s="120"/>
      <c r="N7" s="140">
        <f t="shared" si="9"/>
        <v>-1.5768936218426397</v>
      </c>
      <c r="O7" s="140">
        <f t="shared" si="10"/>
        <v>0.36055512754639896</v>
      </c>
      <c r="P7" s="128">
        <f t="shared" si="5"/>
        <v>2.3831063781573603</v>
      </c>
      <c r="Q7" s="125">
        <f t="shared" si="6"/>
        <v>0.49126084892957333</v>
      </c>
      <c r="R7" s="125">
        <f t="shared" si="7"/>
        <v>0.11366106316905554</v>
      </c>
    </row>
    <row r="8" spans="1:21">
      <c r="B8" s="53"/>
      <c r="C8" s="163"/>
      <c r="D8" s="53"/>
      <c r="E8" s="53"/>
      <c r="F8" s="53"/>
      <c r="G8" s="53"/>
    </row>
    <row r="9" spans="1:21" ht="29">
      <c r="E9" s="6"/>
      <c r="F9" s="4" t="s">
        <v>9</v>
      </c>
      <c r="G9" s="107" t="s">
        <v>265</v>
      </c>
      <c r="H9" s="7"/>
      <c r="I9" s="7"/>
      <c r="J9" s="7"/>
      <c r="K9" s="7"/>
      <c r="L9" s="7"/>
      <c r="M9" s="7"/>
      <c r="N9" s="7"/>
      <c r="O9" s="7"/>
      <c r="P9" s="17"/>
    </row>
    <row r="10" spans="1:21">
      <c r="B10" s="1" t="s">
        <v>4</v>
      </c>
      <c r="E10" s="6"/>
      <c r="F10" s="29">
        <f>AVERAGE(J3:J7)</f>
        <v>4.0333333333333332</v>
      </c>
      <c r="G10" s="29">
        <f>STDEV(J3:J7)</f>
        <v>0.80829037686547556</v>
      </c>
      <c r="H10" s="18"/>
      <c r="I10" s="18"/>
      <c r="J10" s="18"/>
      <c r="K10" s="18"/>
      <c r="L10" s="18"/>
      <c r="M10" s="18"/>
      <c r="N10" s="18"/>
      <c r="O10" s="18"/>
      <c r="P10" s="20"/>
    </row>
    <row r="11" spans="1:21">
      <c r="B11" s="21" t="s">
        <v>37</v>
      </c>
      <c r="C11" s="29">
        <f>AVERAGE(G3:G7)</f>
        <v>-3.1333333333333333</v>
      </c>
      <c r="E11" s="1" t="s">
        <v>23</v>
      </c>
      <c r="F11" s="14">
        <f>F10*0.99</f>
        <v>3.9929999999999999</v>
      </c>
      <c r="G11" s="14">
        <f>G10+(F10-F11)</f>
        <v>0.84862371019880889</v>
      </c>
      <c r="H11" s="16"/>
      <c r="I11" s="16"/>
      <c r="J11" s="16"/>
      <c r="K11" s="16"/>
      <c r="L11" s="16"/>
      <c r="M11" s="16"/>
      <c r="N11" s="16"/>
      <c r="O11" s="16"/>
      <c r="P11" s="16"/>
    </row>
    <row r="12" spans="1:21" ht="16.5">
      <c r="A12" s="33" t="s">
        <v>82</v>
      </c>
      <c r="B12" s="135" t="s">
        <v>88</v>
      </c>
      <c r="C12" s="31">
        <f>C11*0.99</f>
        <v>-3.1019999999999999</v>
      </c>
      <c r="H12" s="9"/>
      <c r="I12" s="9"/>
      <c r="J12" s="9"/>
      <c r="K12" s="9"/>
      <c r="L12" s="9"/>
      <c r="M12" s="9"/>
      <c r="N12" s="9"/>
      <c r="O12" s="9"/>
      <c r="P12" s="9"/>
    </row>
    <row r="13" spans="1:21" s="6" customFormat="1">
      <c r="A13" s="133"/>
      <c r="B13" s="6" t="s">
        <v>26</v>
      </c>
      <c r="C13" s="29">
        <f>STDEV(G3:G7)</f>
        <v>0.80829037686547445</v>
      </c>
      <c r="H13" s="9"/>
      <c r="I13" s="9"/>
      <c r="J13" s="9"/>
      <c r="K13" s="9"/>
      <c r="L13" s="9"/>
      <c r="M13" s="9"/>
      <c r="N13" s="9"/>
      <c r="O13" s="9"/>
      <c r="P13" s="9"/>
    </row>
    <row r="14" spans="1:21">
      <c r="A14" s="133"/>
      <c r="B14" s="6" t="s">
        <v>27</v>
      </c>
      <c r="C14" s="29">
        <f>C11-C12</f>
        <v>-3.1333333333333435E-2</v>
      </c>
      <c r="F14" s="9"/>
      <c r="H14" s="9"/>
      <c r="I14" s="9"/>
      <c r="J14" s="9"/>
      <c r="K14" s="9"/>
      <c r="L14" s="9"/>
      <c r="M14" s="9"/>
      <c r="N14" s="9"/>
      <c r="O14" s="9"/>
      <c r="P14" s="9"/>
    </row>
    <row r="15" spans="1:21">
      <c r="A15" s="23" t="s">
        <v>282</v>
      </c>
      <c r="B15" s="6" t="s">
        <v>28</v>
      </c>
      <c r="C15" s="138">
        <v>0.1</v>
      </c>
      <c r="F15" s="9"/>
      <c r="H15" s="9"/>
      <c r="I15" s="9"/>
      <c r="J15" s="9"/>
      <c r="K15" s="9"/>
      <c r="L15" s="9"/>
      <c r="M15" s="9"/>
      <c r="N15" s="9"/>
      <c r="O15" s="9"/>
      <c r="P15" s="9"/>
    </row>
    <row r="16" spans="1:21" ht="16.5">
      <c r="A16" s="158" t="s">
        <v>83</v>
      </c>
      <c r="B16" s="1" t="s">
        <v>25</v>
      </c>
      <c r="C16" s="31">
        <f>(SQRT(C15^2+C13^2))+ABS(C14)</f>
        <v>0.84578611485803956</v>
      </c>
      <c r="F16" s="9"/>
      <c r="H16" s="9"/>
      <c r="I16" s="9"/>
      <c r="J16" s="9"/>
      <c r="K16" s="9"/>
      <c r="L16" s="9"/>
      <c r="M16" s="9"/>
      <c r="N16" s="9"/>
      <c r="O16" s="9"/>
      <c r="P16" s="9"/>
    </row>
    <row r="17" spans="1:16" s="133" customFormat="1">
      <c r="B17" s="135"/>
      <c r="C17" s="138"/>
      <c r="F17" s="141"/>
      <c r="H17" s="141"/>
      <c r="I17" s="141"/>
      <c r="J17" s="141"/>
      <c r="K17" s="141"/>
      <c r="L17" s="141"/>
      <c r="M17" s="141"/>
      <c r="N17" s="141"/>
      <c r="O17" s="141"/>
      <c r="P17" s="141"/>
    </row>
    <row r="18" spans="1:16" s="133" customFormat="1" ht="16.5">
      <c r="A18" s="33" t="s">
        <v>84</v>
      </c>
      <c r="B18" s="133" t="s">
        <v>61</v>
      </c>
      <c r="C18" s="113">
        <v>-0.4</v>
      </c>
      <c r="F18" s="141"/>
      <c r="H18" s="141"/>
      <c r="I18" s="141"/>
      <c r="J18" s="141"/>
      <c r="K18" s="141"/>
      <c r="L18" s="141"/>
      <c r="M18" s="141"/>
      <c r="N18" s="141"/>
      <c r="O18" s="141"/>
      <c r="P18" s="141"/>
    </row>
    <row r="19" spans="1:16" s="133" customFormat="1">
      <c r="A19" s="23" t="s">
        <v>66</v>
      </c>
      <c r="B19" s="133" t="s">
        <v>41</v>
      </c>
      <c r="C19" s="113">
        <v>0.2</v>
      </c>
      <c r="F19" s="141"/>
      <c r="H19" s="141"/>
      <c r="I19" s="141"/>
      <c r="J19" s="141"/>
      <c r="K19" s="141"/>
      <c r="L19" s="141"/>
      <c r="M19" s="141"/>
      <c r="N19" s="141"/>
      <c r="O19" s="141"/>
      <c r="P19" s="141"/>
    </row>
    <row r="20" spans="1:16" s="21" customFormat="1">
      <c r="A20" s="133"/>
      <c r="B20" s="135"/>
      <c r="C20" s="138"/>
      <c r="F20" s="9"/>
      <c r="H20" s="9"/>
      <c r="I20" s="9"/>
      <c r="J20" s="9"/>
      <c r="K20" s="9"/>
      <c r="L20" s="9"/>
      <c r="M20" s="9"/>
      <c r="N20" s="9"/>
      <c r="O20" s="9"/>
      <c r="P20" s="9"/>
    </row>
    <row r="21" spans="1:16" s="21" customFormat="1">
      <c r="A21" s="33" t="s">
        <v>81</v>
      </c>
      <c r="B21" s="133" t="s">
        <v>70</v>
      </c>
      <c r="C21" s="113">
        <f>0-((-0.6*C24)-0.3)</f>
        <v>1.1768936218426398</v>
      </c>
      <c r="F21" s="9"/>
      <c r="H21" s="9"/>
      <c r="I21" s="9"/>
      <c r="J21" s="9"/>
      <c r="K21" s="9"/>
      <c r="L21" s="9"/>
      <c r="M21" s="9"/>
      <c r="N21" s="9"/>
      <c r="O21" s="9"/>
      <c r="P21" s="9"/>
    </row>
    <row r="22" spans="1:16" s="21" customFormat="1">
      <c r="A22" s="23" t="s">
        <v>67</v>
      </c>
      <c r="B22" s="133" t="s">
        <v>41</v>
      </c>
      <c r="C22" s="113">
        <v>0.3</v>
      </c>
      <c r="F22" s="9"/>
      <c r="H22" s="9"/>
      <c r="I22" s="9"/>
      <c r="J22" s="9"/>
      <c r="K22" s="9"/>
      <c r="L22" s="9"/>
      <c r="M22" s="9"/>
      <c r="N22" s="9"/>
      <c r="O22" s="9"/>
      <c r="P22" s="9"/>
    </row>
    <row r="23" spans="1:16">
      <c r="A23" s="133"/>
      <c r="F23" s="9"/>
    </row>
    <row r="24" spans="1:16">
      <c r="A24" s="33" t="s">
        <v>30</v>
      </c>
      <c r="B24" s="21" t="s">
        <v>36</v>
      </c>
      <c r="C24" s="30">
        <v>1.4614893697377329</v>
      </c>
      <c r="F24" s="9"/>
    </row>
    <row r="25" spans="1:16">
      <c r="A25" s="23" t="s">
        <v>68</v>
      </c>
      <c r="B25" s="21" t="s">
        <v>22</v>
      </c>
      <c r="C25" s="30">
        <v>9.5766650143717935E-2</v>
      </c>
      <c r="F25" s="9"/>
    </row>
    <row r="26" spans="1:16">
      <c r="A26" s="23"/>
      <c r="F26" s="9"/>
    </row>
    <row r="27" spans="1:16">
      <c r="A27" s="23"/>
      <c r="B27" s="141"/>
      <c r="C27" s="139"/>
      <c r="D27" s="141"/>
      <c r="F27" s="9"/>
    </row>
    <row r="28" spans="1:16">
      <c r="A28" s="33" t="s">
        <v>29</v>
      </c>
      <c r="B28" s="111" t="s">
        <v>10</v>
      </c>
      <c r="C28" s="13">
        <f>(C12-C18)+C21</f>
        <v>-1.5251063781573602</v>
      </c>
      <c r="F28" s="9"/>
    </row>
    <row r="29" spans="1:16">
      <c r="A29" s="33"/>
      <c r="B29" s="111" t="s">
        <v>41</v>
      </c>
      <c r="C29" s="13">
        <f>SQRT(C16^2+C19^2+C22^2)</f>
        <v>0.91943142870290051</v>
      </c>
      <c r="F29" s="9"/>
    </row>
    <row r="30" spans="1:16">
      <c r="A30" s="33"/>
      <c r="B30" s="111"/>
      <c r="C30" s="138"/>
      <c r="F30" s="9"/>
    </row>
    <row r="31" spans="1:16">
      <c r="A31" s="33" t="s">
        <v>85</v>
      </c>
      <c r="B31" s="135" t="s">
        <v>11</v>
      </c>
      <c r="C31" s="13">
        <f>C28/C24</f>
        <v>-1.043528888910799</v>
      </c>
      <c r="F31" s="9"/>
    </row>
    <row r="32" spans="1:16">
      <c r="A32" s="23"/>
      <c r="B32" s="135" t="s">
        <v>69</v>
      </c>
      <c r="C32" s="13">
        <f>ABS(C31*(SQRT((C29/C28)^2)+((C25/C24)^2)))</f>
        <v>0.63358645035515404</v>
      </c>
      <c r="F32" s="9"/>
    </row>
    <row r="33" spans="1:12">
      <c r="A33" s="159"/>
      <c r="B33" s="111"/>
      <c r="C33" s="138"/>
      <c r="D33" s="9"/>
      <c r="F33" s="9"/>
    </row>
    <row r="34" spans="1:12">
      <c r="A34" s="159"/>
      <c r="B34" s="111"/>
      <c r="C34" s="138"/>
      <c r="D34" s="9"/>
      <c r="F34" s="9"/>
    </row>
    <row r="35" spans="1:12">
      <c r="A35" s="159"/>
      <c r="B35" s="111"/>
      <c r="C35" s="138"/>
      <c r="F35" s="9"/>
    </row>
    <row r="36" spans="1:12">
      <c r="A36" s="159"/>
      <c r="B36" s="111"/>
      <c r="C36" s="138"/>
      <c r="F36" s="9"/>
    </row>
    <row r="37" spans="1:12">
      <c r="A37" s="141"/>
      <c r="B37" s="111"/>
      <c r="C37" s="138"/>
      <c r="D37" s="6"/>
      <c r="E37" s="6"/>
      <c r="F37" s="6"/>
      <c r="G37" s="6"/>
      <c r="H37" s="6"/>
      <c r="I37" s="6"/>
    </row>
    <row r="38" spans="1:12">
      <c r="A38" s="141"/>
      <c r="B38" s="141"/>
      <c r="C38" s="141"/>
      <c r="D38" s="6"/>
      <c r="E38" s="6"/>
      <c r="F38" s="6"/>
      <c r="G38" s="6"/>
      <c r="H38" s="6"/>
      <c r="I38" s="6"/>
      <c r="J38" s="6"/>
      <c r="K38" s="6"/>
    </row>
    <row r="39" spans="1:12">
      <c r="A39" s="141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0"/>
    </row>
    <row r="40" spans="1:12">
      <c r="A40" s="141"/>
      <c r="B40" s="129"/>
      <c r="C40" s="139"/>
      <c r="D40" s="110"/>
      <c r="E40" s="110"/>
      <c r="F40" s="114"/>
      <c r="G40" s="112"/>
      <c r="H40" s="114"/>
      <c r="I40" s="112"/>
      <c r="J40" s="110"/>
      <c r="K40" s="110"/>
      <c r="L40" s="110"/>
    </row>
    <row r="41" spans="1:12">
      <c r="A41" s="110"/>
      <c r="B41" s="129"/>
      <c r="C41" s="114"/>
      <c r="D41" s="110"/>
      <c r="E41" s="110"/>
      <c r="F41" s="114"/>
      <c r="G41" s="112"/>
      <c r="H41" s="114"/>
      <c r="I41" s="112"/>
      <c r="J41" s="110"/>
      <c r="K41" s="110"/>
      <c r="L41" s="110"/>
    </row>
    <row r="42" spans="1:12">
      <c r="A42" s="110"/>
      <c r="B42" s="129"/>
      <c r="C42" s="114"/>
      <c r="D42" s="110"/>
      <c r="E42" s="110"/>
      <c r="F42" s="114"/>
      <c r="G42" s="112"/>
      <c r="H42" s="114"/>
      <c r="I42" s="112"/>
      <c r="J42" s="110"/>
      <c r="K42" s="110"/>
      <c r="L42" s="110"/>
    </row>
    <row r="43" spans="1:12">
      <c r="A43" s="110"/>
      <c r="B43" s="129"/>
      <c r="C43" s="114"/>
      <c r="D43" s="110"/>
      <c r="E43" s="110"/>
      <c r="F43" s="114"/>
      <c r="G43" s="112"/>
      <c r="H43" s="114"/>
      <c r="I43" s="112"/>
      <c r="J43" s="110"/>
      <c r="K43" s="110"/>
      <c r="L43" s="110"/>
    </row>
    <row r="44" spans="1:12">
      <c r="A44" s="110"/>
      <c r="B44" s="130"/>
      <c r="C44" s="114"/>
      <c r="D44" s="110"/>
      <c r="E44" s="110"/>
      <c r="F44" s="114"/>
      <c r="G44" s="112"/>
      <c r="H44" s="114"/>
      <c r="I44" s="112"/>
      <c r="J44" s="110"/>
      <c r="K44" s="110"/>
      <c r="L44" s="110"/>
    </row>
    <row r="45" spans="1:12">
      <c r="A45" s="110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</row>
    <row r="46" spans="1:12">
      <c r="A46" s="110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</row>
    <row r="47" spans="1:12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</row>
    <row r="48" spans="1:12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</row>
    <row r="49" spans="1:12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49"/>
  <sheetViews>
    <sheetView zoomScaleNormal="100" workbookViewId="0">
      <selection activeCell="A16" sqref="A16"/>
    </sheetView>
  </sheetViews>
  <sheetFormatPr defaultRowHeight="14.5"/>
  <cols>
    <col min="1" max="1" width="32.90625" style="21" customWidth="1"/>
    <col min="2" max="2" width="21.453125" customWidth="1"/>
    <col min="3" max="3" width="17.90625" customWidth="1"/>
    <col min="4" max="4" width="20.453125" customWidth="1"/>
    <col min="5" max="5" width="13.1796875" customWidth="1"/>
    <col min="6" max="6" width="14.26953125" customWidth="1"/>
    <col min="7" max="7" width="14" customWidth="1"/>
    <col min="8" max="9" width="14.81640625" customWidth="1"/>
    <col min="10" max="11" width="15.54296875" customWidth="1"/>
    <col min="12" max="12" width="12.453125" customWidth="1"/>
    <col min="13" max="13" width="14.54296875" customWidth="1"/>
    <col min="14" max="14" width="18" customWidth="1"/>
    <col min="15" max="15" width="16.1796875" customWidth="1"/>
    <col min="18" max="18" width="20.7265625" customWidth="1"/>
  </cols>
  <sheetData>
    <row r="1" spans="1:24">
      <c r="B1" s="1" t="s">
        <v>273</v>
      </c>
      <c r="C1" s="106"/>
      <c r="D1" s="106"/>
      <c r="E1" s="106"/>
      <c r="F1" s="106"/>
      <c r="G1" s="106"/>
      <c r="H1" s="106"/>
      <c r="I1" s="106"/>
      <c r="J1" s="1"/>
      <c r="T1" s="1"/>
    </row>
    <row r="2" spans="1:24" ht="72.5">
      <c r="A2" s="24" t="s">
        <v>35</v>
      </c>
      <c r="B2" s="53" t="s">
        <v>0</v>
      </c>
      <c r="C2" s="117" t="s">
        <v>91</v>
      </c>
      <c r="D2" s="117" t="s">
        <v>34</v>
      </c>
      <c r="E2" s="115" t="s">
        <v>267</v>
      </c>
      <c r="F2" s="117" t="s">
        <v>31</v>
      </c>
      <c r="G2" s="108" t="s">
        <v>38</v>
      </c>
      <c r="H2" s="123" t="s">
        <v>39</v>
      </c>
      <c r="I2" s="124" t="s">
        <v>41</v>
      </c>
      <c r="J2" s="117" t="s">
        <v>9</v>
      </c>
      <c r="K2" s="123" t="s">
        <v>40</v>
      </c>
      <c r="L2" s="123" t="s">
        <v>41</v>
      </c>
      <c r="M2" s="117" t="s">
        <v>32</v>
      </c>
      <c r="N2" s="134" t="s">
        <v>76</v>
      </c>
      <c r="O2" s="115" t="s">
        <v>41</v>
      </c>
      <c r="P2" s="117" t="s">
        <v>74</v>
      </c>
      <c r="Q2" s="142" t="s">
        <v>75</v>
      </c>
      <c r="R2" s="123" t="s">
        <v>22</v>
      </c>
      <c r="U2" s="2"/>
      <c r="V2" s="2"/>
      <c r="W2" s="2"/>
      <c r="X2" s="2"/>
    </row>
    <row r="3" spans="1:24">
      <c r="A3" s="80" t="s">
        <v>8</v>
      </c>
      <c r="B3" s="103">
        <v>601593.01</v>
      </c>
      <c r="C3" s="162" t="s">
        <v>139</v>
      </c>
      <c r="D3" s="118">
        <v>10.8</v>
      </c>
      <c r="E3" s="118">
        <v>6.7</v>
      </c>
      <c r="F3" s="118">
        <v>0.9</v>
      </c>
      <c r="G3" s="120">
        <f>F3-E3</f>
        <v>-5.8</v>
      </c>
      <c r="H3" s="126">
        <f>G3*0.99</f>
        <v>-5.742</v>
      </c>
      <c r="I3" s="125">
        <f>$C$16+(H3-G3)</f>
        <v>0.15799999999999984</v>
      </c>
      <c r="J3" s="119">
        <f>E3</f>
        <v>6.7</v>
      </c>
      <c r="K3" s="127">
        <f>J3*0.99</f>
        <v>6.633</v>
      </c>
      <c r="L3" s="127">
        <f>J3-K3</f>
        <v>6.7000000000000171E-2</v>
      </c>
      <c r="M3" s="119"/>
      <c r="N3" s="128">
        <f>$C$19-$C$22</f>
        <v>-1.3360934948732131</v>
      </c>
      <c r="O3" s="128">
        <f>SQRT(($C$20^2)+($C$23^2))</f>
        <v>0.36055512754639896</v>
      </c>
      <c r="P3" s="128">
        <f>N3-H3</f>
        <v>4.4059065051267865</v>
      </c>
      <c r="Q3" s="125">
        <f>P3/K3</f>
        <v>0.6642403897371908</v>
      </c>
      <c r="R3" s="125">
        <f>Q3*(SQRT(((I3/H3)^2)+((O3/N3)^2)))</f>
        <v>0.18017983395931569</v>
      </c>
    </row>
    <row r="4" spans="1:24">
      <c r="A4" s="105" t="s">
        <v>7</v>
      </c>
      <c r="B4" s="102">
        <v>601593.00800000003</v>
      </c>
      <c r="C4" s="161" t="s">
        <v>140</v>
      </c>
      <c r="D4" s="102">
        <v>12.5</v>
      </c>
      <c r="E4" s="102">
        <v>8.3000000000000007</v>
      </c>
      <c r="F4" s="102">
        <v>2</v>
      </c>
      <c r="G4" s="120">
        <f t="shared" ref="G4:G9" si="0">F4-E4</f>
        <v>-6.3000000000000007</v>
      </c>
      <c r="H4" s="126">
        <f t="shared" ref="H4:H9" si="1">G4*0.99</f>
        <v>-6.237000000000001</v>
      </c>
      <c r="I4" s="125">
        <f t="shared" ref="I4:I9" si="2">$C$16+(H4-G4)</f>
        <v>0.16299999999999973</v>
      </c>
      <c r="J4" s="119">
        <f t="shared" ref="J4:J9" si="3">E4</f>
        <v>8.3000000000000007</v>
      </c>
      <c r="K4" s="127">
        <f t="shared" ref="K4:K9" si="4">J4*0.99</f>
        <v>8.2170000000000005</v>
      </c>
      <c r="L4" s="127">
        <f t="shared" ref="L4:L9" si="5">J4-K4</f>
        <v>8.3000000000000185E-2</v>
      </c>
      <c r="M4" s="119"/>
      <c r="N4" s="140">
        <f t="shared" ref="N4:N9" si="6">$C$19-$C$22</f>
        <v>-1.3360934948732131</v>
      </c>
      <c r="O4" s="140">
        <f t="shared" ref="O4:O9" si="7">SQRT(($C$20^2)+($C$23^2))</f>
        <v>0.36055512754639896</v>
      </c>
      <c r="P4" s="128">
        <f t="shared" ref="P4:P9" si="8">N4-H4</f>
        <v>4.9009065051267875</v>
      </c>
      <c r="Q4" s="125">
        <f t="shared" ref="Q4:Q9" si="9">P4/K4</f>
        <v>0.59643501340231075</v>
      </c>
      <c r="R4" s="125">
        <f t="shared" ref="R4:R9" si="10">Q4*(SQRT(((I4/H4)^2)+((O4/N4)^2)))</f>
        <v>0.16170560673894629</v>
      </c>
      <c r="X4" s="3"/>
    </row>
    <row r="5" spans="1:24" ht="35.25" customHeight="1">
      <c r="A5" s="105" t="s">
        <v>7</v>
      </c>
      <c r="B5" s="102">
        <v>601593.00699999998</v>
      </c>
      <c r="C5" s="161" t="s">
        <v>141</v>
      </c>
      <c r="D5" s="102">
        <v>12.5</v>
      </c>
      <c r="E5" s="102">
        <v>7.7</v>
      </c>
      <c r="F5" s="102">
        <v>1.9</v>
      </c>
      <c r="G5" s="120">
        <f t="shared" si="0"/>
        <v>-5.8000000000000007</v>
      </c>
      <c r="H5" s="126">
        <f t="shared" si="1"/>
        <v>-5.7420000000000009</v>
      </c>
      <c r="I5" s="125">
        <f t="shared" si="2"/>
        <v>0.15799999999999984</v>
      </c>
      <c r="J5" s="119">
        <f t="shared" si="3"/>
        <v>7.7</v>
      </c>
      <c r="K5" s="127">
        <f t="shared" si="4"/>
        <v>7.6230000000000002</v>
      </c>
      <c r="L5" s="127">
        <f t="shared" si="5"/>
        <v>7.6999999999999957E-2</v>
      </c>
      <c r="M5" s="104" t="s">
        <v>18</v>
      </c>
      <c r="N5" s="140">
        <f t="shared" si="6"/>
        <v>-1.3360934948732131</v>
      </c>
      <c r="O5" s="140">
        <f t="shared" si="7"/>
        <v>0.36055512754639896</v>
      </c>
      <c r="P5" s="128">
        <f t="shared" si="8"/>
        <v>4.4059065051267883</v>
      </c>
      <c r="Q5" s="125">
        <f t="shared" si="9"/>
        <v>0.5779754040570364</v>
      </c>
      <c r="R5" s="125">
        <f t="shared" si="10"/>
        <v>0.156779855523041</v>
      </c>
      <c r="X5" s="3"/>
    </row>
    <row r="6" spans="1:24">
      <c r="A6" s="80" t="s">
        <v>7</v>
      </c>
      <c r="B6" s="102">
        <v>601593.00300000003</v>
      </c>
      <c r="C6" s="161" t="s">
        <v>142</v>
      </c>
      <c r="D6" s="102">
        <v>10</v>
      </c>
      <c r="E6" s="102">
        <v>7.2</v>
      </c>
      <c r="F6" s="102">
        <v>1.7</v>
      </c>
      <c r="G6" s="120">
        <f t="shared" si="0"/>
        <v>-5.5</v>
      </c>
      <c r="H6" s="126">
        <f t="shared" si="1"/>
        <v>-5.4450000000000003</v>
      </c>
      <c r="I6" s="125">
        <f t="shared" si="2"/>
        <v>0.15499999999999972</v>
      </c>
      <c r="J6" s="119">
        <f t="shared" si="3"/>
        <v>7.2</v>
      </c>
      <c r="K6" s="127">
        <f t="shared" si="4"/>
        <v>7.1280000000000001</v>
      </c>
      <c r="L6" s="127">
        <f t="shared" si="5"/>
        <v>7.2000000000000064E-2</v>
      </c>
      <c r="M6" s="119"/>
      <c r="N6" s="140">
        <f t="shared" si="6"/>
        <v>-1.3360934948732131</v>
      </c>
      <c r="O6" s="140">
        <f t="shared" si="7"/>
        <v>0.36055512754639896</v>
      </c>
      <c r="P6" s="128">
        <f t="shared" si="8"/>
        <v>4.1089065051267877</v>
      </c>
      <c r="Q6" s="125">
        <f t="shared" si="9"/>
        <v>0.57644591822766378</v>
      </c>
      <c r="R6" s="125">
        <f t="shared" si="10"/>
        <v>0.15642146826137662</v>
      </c>
    </row>
    <row r="7" spans="1:24">
      <c r="A7" s="105" t="s">
        <v>8</v>
      </c>
      <c r="B7" s="102">
        <v>601593.00600000005</v>
      </c>
      <c r="C7" s="161" t="s">
        <v>143</v>
      </c>
      <c r="D7" s="102">
        <v>10.6</v>
      </c>
      <c r="E7" s="102">
        <v>5.9</v>
      </c>
      <c r="F7" s="102">
        <v>0.7</v>
      </c>
      <c r="G7" s="120">
        <f t="shared" si="0"/>
        <v>-5.2</v>
      </c>
      <c r="H7" s="126">
        <f t="shared" si="1"/>
        <v>-5.1479999999999997</v>
      </c>
      <c r="I7" s="125">
        <f t="shared" si="2"/>
        <v>0.1520000000000005</v>
      </c>
      <c r="J7" s="119">
        <f t="shared" si="3"/>
        <v>5.9</v>
      </c>
      <c r="K7" s="127">
        <f t="shared" si="4"/>
        <v>5.8410000000000002</v>
      </c>
      <c r="L7" s="127">
        <f t="shared" si="5"/>
        <v>5.9000000000000163E-2</v>
      </c>
      <c r="M7" s="119"/>
      <c r="N7" s="140">
        <f t="shared" si="6"/>
        <v>-1.3360934948732131</v>
      </c>
      <c r="O7" s="140">
        <f t="shared" si="7"/>
        <v>0.36055512754639896</v>
      </c>
      <c r="P7" s="128">
        <f t="shared" si="8"/>
        <v>3.8119065051267866</v>
      </c>
      <c r="Q7" s="125">
        <f t="shared" si="9"/>
        <v>0.65261196800664034</v>
      </c>
      <c r="R7" s="125">
        <f t="shared" si="10"/>
        <v>0.17716337835686852</v>
      </c>
    </row>
    <row r="8" spans="1:24">
      <c r="A8" s="105" t="s">
        <v>8</v>
      </c>
      <c r="B8" s="102">
        <v>601593.00399999996</v>
      </c>
      <c r="C8" s="161" t="s">
        <v>144</v>
      </c>
      <c r="D8" s="102">
        <v>9.6999999999999993</v>
      </c>
      <c r="E8" s="102">
        <v>5.8</v>
      </c>
      <c r="F8" s="102">
        <v>0.6</v>
      </c>
      <c r="G8" s="120">
        <f t="shared" si="0"/>
        <v>-5.2</v>
      </c>
      <c r="H8" s="126">
        <f t="shared" si="1"/>
        <v>-5.1479999999999997</v>
      </c>
      <c r="I8" s="125">
        <f t="shared" si="2"/>
        <v>0.1520000000000005</v>
      </c>
      <c r="J8" s="119">
        <f t="shared" si="3"/>
        <v>5.8</v>
      </c>
      <c r="K8" s="127">
        <f t="shared" si="4"/>
        <v>5.742</v>
      </c>
      <c r="L8" s="127">
        <f t="shared" si="5"/>
        <v>5.7999999999999829E-2</v>
      </c>
      <c r="M8" s="119"/>
      <c r="N8" s="140">
        <f t="shared" si="6"/>
        <v>-1.3360934948732131</v>
      </c>
      <c r="O8" s="140">
        <f t="shared" si="7"/>
        <v>0.36055512754639896</v>
      </c>
      <c r="P8" s="128">
        <f t="shared" si="8"/>
        <v>3.8119065051267866</v>
      </c>
      <c r="Q8" s="125">
        <f t="shared" si="9"/>
        <v>0.66386389848951355</v>
      </c>
      <c r="R8" s="125">
        <f t="shared" si="10"/>
        <v>0.18021791936302145</v>
      </c>
    </row>
    <row r="9" spans="1:24">
      <c r="A9" s="105" t="s">
        <v>8</v>
      </c>
      <c r="B9" s="103">
        <v>601593.00899999996</v>
      </c>
      <c r="C9" s="162" t="s">
        <v>145</v>
      </c>
      <c r="D9" s="118">
        <v>9.6</v>
      </c>
      <c r="E9" s="118">
        <v>5.3</v>
      </c>
      <c r="F9" s="118">
        <v>0.6</v>
      </c>
      <c r="G9" s="120">
        <f t="shared" si="0"/>
        <v>-4.7</v>
      </c>
      <c r="H9" s="126">
        <f t="shared" si="1"/>
        <v>-4.6530000000000005</v>
      </c>
      <c r="I9" s="125">
        <f t="shared" si="2"/>
        <v>0.14699999999999971</v>
      </c>
      <c r="J9" s="119">
        <f t="shared" si="3"/>
        <v>5.3</v>
      </c>
      <c r="K9" s="127">
        <f t="shared" si="4"/>
        <v>5.2469999999999999</v>
      </c>
      <c r="L9" s="127">
        <f t="shared" si="5"/>
        <v>5.2999999999999936E-2</v>
      </c>
      <c r="M9" s="119"/>
      <c r="N9" s="140">
        <f t="shared" si="6"/>
        <v>-1.3360934948732131</v>
      </c>
      <c r="O9" s="140">
        <f t="shared" si="7"/>
        <v>0.36055512754639896</v>
      </c>
      <c r="P9" s="128">
        <f t="shared" si="8"/>
        <v>3.3169065051267874</v>
      </c>
      <c r="Q9" s="125">
        <f t="shared" si="9"/>
        <v>0.63215294551682633</v>
      </c>
      <c r="R9" s="125">
        <f t="shared" si="10"/>
        <v>0.17175639699275588</v>
      </c>
    </row>
    <row r="10" spans="1:24">
      <c r="G10" s="4"/>
      <c r="H10" s="7"/>
      <c r="I10" s="7"/>
      <c r="J10" s="7"/>
      <c r="K10" s="7"/>
      <c r="L10" s="7"/>
      <c r="M10" s="7"/>
      <c r="N10" s="7"/>
      <c r="O10" s="7"/>
      <c r="P10" s="7"/>
      <c r="Q10" s="9"/>
    </row>
    <row r="11" spans="1:24" ht="29">
      <c r="B11" s="1" t="s">
        <v>4</v>
      </c>
      <c r="E11" s="6"/>
      <c r="F11" s="4" t="s">
        <v>9</v>
      </c>
      <c r="G11" s="4" t="s">
        <v>265</v>
      </c>
      <c r="H11" s="18"/>
      <c r="I11" s="18"/>
      <c r="J11" s="18"/>
      <c r="K11" s="18"/>
      <c r="L11" s="18"/>
      <c r="M11" s="18"/>
      <c r="N11" s="18"/>
      <c r="O11" s="18"/>
      <c r="P11" s="18"/>
      <c r="Q11" s="9"/>
    </row>
    <row r="12" spans="1:24">
      <c r="B12" s="21" t="s">
        <v>37</v>
      </c>
      <c r="C12" s="29">
        <f>AVERAGE(G3:G9)</f>
        <v>-5.5000000000000009</v>
      </c>
      <c r="E12" s="6"/>
      <c r="F12" s="29">
        <f>AVERAGE(J3:J9)</f>
        <v>6.6999999999999984</v>
      </c>
      <c r="G12" s="29">
        <f>STDEV(J3:J9)</f>
        <v>1.0969655114602954</v>
      </c>
      <c r="H12" s="16"/>
      <c r="I12" s="16"/>
      <c r="J12" s="16"/>
      <c r="K12" s="16"/>
      <c r="L12" s="16"/>
      <c r="M12" s="16"/>
      <c r="N12" s="16"/>
      <c r="O12" s="16"/>
      <c r="P12" s="16"/>
      <c r="Q12" s="9"/>
    </row>
    <row r="13" spans="1:24" ht="16.5">
      <c r="A13" s="33" t="s">
        <v>82</v>
      </c>
      <c r="B13" s="135" t="s">
        <v>88</v>
      </c>
      <c r="C13" s="31">
        <f>C12*0.99</f>
        <v>-5.4450000000000012</v>
      </c>
      <c r="E13" s="1" t="s">
        <v>23</v>
      </c>
      <c r="F13" s="14">
        <f>F12*0.99</f>
        <v>6.6329999999999982</v>
      </c>
      <c r="G13" s="14">
        <f>G12+(F12-F13)</f>
        <v>1.1639655114602956</v>
      </c>
      <c r="H13" s="9"/>
      <c r="I13" s="9"/>
      <c r="J13" s="9"/>
      <c r="K13" s="9"/>
      <c r="L13" s="9"/>
      <c r="M13" s="9"/>
      <c r="N13" s="9"/>
      <c r="O13" s="12"/>
      <c r="P13" s="12"/>
      <c r="Q13" s="9"/>
    </row>
    <row r="14" spans="1:24" s="6" customFormat="1">
      <c r="A14" s="133"/>
      <c r="B14" s="6" t="s">
        <v>26</v>
      </c>
      <c r="C14" s="29">
        <f>STDEV(G3:G9)</f>
        <v>0.52281290471193753</v>
      </c>
      <c r="E14" s="1"/>
      <c r="F14" s="16"/>
      <c r="G14" s="16"/>
      <c r="H14" s="9"/>
      <c r="I14" s="9"/>
      <c r="J14" s="9"/>
      <c r="K14" s="9"/>
      <c r="L14" s="9"/>
      <c r="M14" s="9"/>
      <c r="N14" s="9"/>
      <c r="O14" s="12"/>
      <c r="P14" s="12"/>
      <c r="Q14" s="9"/>
    </row>
    <row r="15" spans="1:24">
      <c r="A15" s="133"/>
      <c r="B15" s="6" t="s">
        <v>27</v>
      </c>
      <c r="C15" s="29">
        <f>C12-C13</f>
        <v>-5.4999999999999716E-2</v>
      </c>
      <c r="H15" s="9"/>
      <c r="I15" s="9"/>
      <c r="J15" s="9"/>
      <c r="K15" s="9"/>
      <c r="L15" s="9"/>
      <c r="M15" s="9"/>
      <c r="N15" s="9"/>
      <c r="O15" s="12"/>
      <c r="P15" s="12"/>
      <c r="Q15" s="9"/>
    </row>
    <row r="16" spans="1:24">
      <c r="A16" s="23" t="s">
        <v>282</v>
      </c>
      <c r="B16" s="6" t="s">
        <v>28</v>
      </c>
      <c r="C16" s="138">
        <v>0.1</v>
      </c>
      <c r="H16" s="9"/>
      <c r="I16" s="9"/>
      <c r="J16" s="9"/>
      <c r="K16" s="9"/>
      <c r="L16" s="9"/>
      <c r="M16" s="9"/>
      <c r="N16" s="9"/>
      <c r="O16" s="12"/>
      <c r="P16" s="12"/>
      <c r="Q16" s="9"/>
    </row>
    <row r="17" spans="1:17" ht="16.5">
      <c r="A17" s="158" t="s">
        <v>83</v>
      </c>
      <c r="B17" s="1" t="s">
        <v>25</v>
      </c>
      <c r="C17" s="31">
        <f>(SQRT(C16^2+C14^2))+ABS(C15)</f>
        <v>0.58729064742237691</v>
      </c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17" s="133" customFormat="1">
      <c r="B18" s="135"/>
      <c r="C18" s="138"/>
      <c r="H18" s="141"/>
      <c r="I18" s="141"/>
      <c r="J18" s="141"/>
      <c r="K18" s="141"/>
      <c r="L18" s="141"/>
      <c r="M18" s="141"/>
      <c r="N18" s="141"/>
      <c r="O18" s="141"/>
      <c r="P18" s="141"/>
      <c r="Q18" s="141"/>
    </row>
    <row r="19" spans="1:17" s="133" customFormat="1" ht="16.5">
      <c r="A19" s="33" t="s">
        <v>84</v>
      </c>
      <c r="B19" s="133" t="s">
        <v>61</v>
      </c>
      <c r="C19" s="113">
        <v>-0.4</v>
      </c>
      <c r="H19" s="141"/>
      <c r="I19" s="141"/>
      <c r="J19" s="141"/>
      <c r="K19" s="141"/>
      <c r="L19" s="141"/>
      <c r="M19" s="141"/>
      <c r="N19" s="141"/>
      <c r="O19" s="141"/>
      <c r="P19" s="141"/>
      <c r="Q19" s="141"/>
    </row>
    <row r="20" spans="1:17" s="133" customFormat="1">
      <c r="A20" s="23" t="s">
        <v>66</v>
      </c>
      <c r="B20" s="133" t="s">
        <v>41</v>
      </c>
      <c r="C20" s="113">
        <v>0.2</v>
      </c>
      <c r="H20" s="141"/>
      <c r="I20" s="141"/>
      <c r="J20" s="141"/>
      <c r="K20" s="141"/>
      <c r="L20" s="141"/>
      <c r="M20" s="141"/>
      <c r="N20" s="141"/>
      <c r="O20" s="141"/>
      <c r="P20" s="141"/>
      <c r="Q20" s="141"/>
    </row>
    <row r="21" spans="1:17" s="21" customFormat="1">
      <c r="A21" s="133"/>
      <c r="B21" s="135"/>
      <c r="C21" s="138"/>
      <c r="H21" s="9"/>
      <c r="I21" s="9"/>
      <c r="J21" s="9"/>
      <c r="K21" s="9"/>
      <c r="L21" s="9"/>
      <c r="M21" s="9"/>
      <c r="N21" s="9"/>
      <c r="O21" s="9"/>
      <c r="P21" s="9"/>
      <c r="Q21" s="9"/>
    </row>
    <row r="22" spans="1:17" s="21" customFormat="1">
      <c r="A22" s="33" t="s">
        <v>81</v>
      </c>
      <c r="B22" s="133" t="s">
        <v>70</v>
      </c>
      <c r="C22" s="113">
        <f>0-((-0.6*C25)-0.3)</f>
        <v>0.93609349487321292</v>
      </c>
      <c r="H22" s="9"/>
      <c r="I22" s="9"/>
      <c r="J22" s="9"/>
      <c r="K22" s="9"/>
      <c r="L22" s="9"/>
      <c r="M22" s="9"/>
      <c r="N22" s="9"/>
      <c r="O22" s="9"/>
      <c r="P22" s="9"/>
      <c r="Q22" s="9"/>
    </row>
    <row r="23" spans="1:17" s="21" customFormat="1">
      <c r="A23" s="23" t="s">
        <v>67</v>
      </c>
      <c r="B23" s="133" t="s">
        <v>41</v>
      </c>
      <c r="C23" s="113">
        <v>0.3</v>
      </c>
      <c r="H23" s="9"/>
      <c r="I23" s="9"/>
      <c r="J23" s="9"/>
      <c r="K23" s="9"/>
      <c r="L23" s="9"/>
      <c r="M23" s="9"/>
      <c r="N23" s="9"/>
      <c r="O23" s="9"/>
      <c r="P23" s="9"/>
      <c r="Q23" s="9"/>
    </row>
    <row r="24" spans="1:17">
      <c r="A24" s="133"/>
      <c r="H24" s="9"/>
      <c r="I24" s="9"/>
      <c r="J24" s="9"/>
      <c r="K24" s="9"/>
      <c r="L24" s="9"/>
      <c r="M24" s="9"/>
      <c r="N24" s="9"/>
      <c r="O24" s="9"/>
      <c r="P24" s="9"/>
      <c r="Q24" s="9"/>
    </row>
    <row r="25" spans="1:17">
      <c r="A25" s="33" t="s">
        <v>30</v>
      </c>
      <c r="B25" s="21" t="s">
        <v>36</v>
      </c>
      <c r="C25" s="30">
        <v>1.0601558247886884</v>
      </c>
      <c r="G25" s="1"/>
      <c r="H25" s="9"/>
      <c r="I25" s="9"/>
      <c r="J25" s="9"/>
      <c r="K25" s="9"/>
      <c r="L25" s="9"/>
      <c r="M25" s="9"/>
      <c r="N25" s="9"/>
      <c r="O25" s="9"/>
      <c r="P25" s="9"/>
      <c r="Q25" s="9"/>
    </row>
    <row r="26" spans="1:17">
      <c r="A26" s="23" t="s">
        <v>68</v>
      </c>
      <c r="B26" s="21" t="s">
        <v>22</v>
      </c>
      <c r="C26" s="30">
        <v>5.2871340746926156E-2</v>
      </c>
      <c r="G26" s="6"/>
    </row>
    <row r="27" spans="1:17">
      <c r="A27" s="23"/>
    </row>
    <row r="28" spans="1:17">
      <c r="A28" s="23"/>
      <c r="B28" s="141"/>
      <c r="C28" s="139"/>
    </row>
    <row r="29" spans="1:17">
      <c r="A29" s="33" t="s">
        <v>29</v>
      </c>
      <c r="B29" s="111" t="s">
        <v>10</v>
      </c>
      <c r="C29" s="13">
        <f>(C13-C19)+C22</f>
        <v>-4.1089065051267877</v>
      </c>
    </row>
    <row r="30" spans="1:17">
      <c r="A30" s="33"/>
      <c r="B30" s="111" t="s">
        <v>41</v>
      </c>
      <c r="C30" s="13">
        <f>SQRT(C17^2+C20^2+C23^2)</f>
        <v>0.68913736261343028</v>
      </c>
    </row>
    <row r="31" spans="1:17">
      <c r="A31" s="33"/>
      <c r="B31" s="111"/>
      <c r="C31" s="138"/>
      <c r="D31" s="16"/>
    </row>
    <row r="32" spans="1:17">
      <c r="A32" s="33" t="s">
        <v>85</v>
      </c>
      <c r="B32" s="135" t="s">
        <v>11</v>
      </c>
      <c r="C32" s="13">
        <f>C29/C25</f>
        <v>-3.8757571378205462</v>
      </c>
      <c r="D32" s="16"/>
    </row>
    <row r="33" spans="1:12">
      <c r="A33" s="23"/>
      <c r="B33" s="135" t="s">
        <v>69</v>
      </c>
      <c r="C33" s="13">
        <f>ABS(C32*(SQRT((C30/C29)^2)+((C26/C25)^2)))</f>
        <v>0.65967360240244466</v>
      </c>
      <c r="D33" s="9"/>
    </row>
    <row r="34" spans="1:12">
      <c r="A34" s="159"/>
      <c r="B34" s="111"/>
      <c r="C34" s="138"/>
      <c r="D34" s="9"/>
    </row>
    <row r="35" spans="1:12">
      <c r="A35" s="159"/>
      <c r="B35" s="111"/>
      <c r="C35" s="138"/>
      <c r="D35" s="9"/>
    </row>
    <row r="36" spans="1:12">
      <c r="A36" s="159"/>
      <c r="B36" s="111"/>
      <c r="C36" s="138"/>
    </row>
    <row r="37" spans="1:12">
      <c r="A37" s="159"/>
      <c r="B37" s="111"/>
      <c r="C37" s="138"/>
    </row>
    <row r="38" spans="1:12">
      <c r="A38" s="141"/>
      <c r="B38" s="111"/>
      <c r="C38" s="138"/>
      <c r="D38" s="6"/>
      <c r="E38" s="6"/>
      <c r="F38" s="6"/>
      <c r="G38" s="6"/>
      <c r="H38" s="6"/>
      <c r="I38" s="6"/>
      <c r="J38" s="111"/>
      <c r="K38" s="111"/>
    </row>
    <row r="39" spans="1:12">
      <c r="A39" s="141"/>
      <c r="B39" s="141"/>
      <c r="C39" s="141"/>
      <c r="D39" s="6"/>
      <c r="E39" s="6"/>
      <c r="F39" s="6"/>
      <c r="G39" s="6"/>
      <c r="H39" s="6"/>
      <c r="I39" s="6"/>
      <c r="J39" s="6"/>
      <c r="K39" s="6"/>
    </row>
    <row r="40" spans="1:12">
      <c r="A40" s="141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0"/>
    </row>
    <row r="41" spans="1:12">
      <c r="A41" s="110"/>
      <c r="B41" s="130"/>
      <c r="C41" s="114"/>
      <c r="D41" s="110"/>
      <c r="E41" s="110"/>
      <c r="F41" s="114"/>
      <c r="G41" s="112"/>
      <c r="H41" s="114"/>
      <c r="I41" s="112"/>
      <c r="J41" s="110"/>
      <c r="K41" s="110"/>
      <c r="L41" s="110"/>
    </row>
    <row r="42" spans="1:12">
      <c r="A42" s="110"/>
      <c r="B42" s="129"/>
      <c r="C42" s="114"/>
      <c r="D42" s="110"/>
      <c r="E42" s="110"/>
      <c r="F42" s="114"/>
      <c r="G42" s="112"/>
      <c r="H42" s="114"/>
      <c r="I42" s="112"/>
      <c r="J42" s="110"/>
      <c r="K42" s="110"/>
      <c r="L42" s="110"/>
    </row>
    <row r="43" spans="1:12">
      <c r="A43" s="110"/>
      <c r="B43" s="129"/>
      <c r="C43" s="114"/>
      <c r="D43" s="110"/>
      <c r="E43" s="110"/>
      <c r="F43" s="114"/>
      <c r="G43" s="112"/>
      <c r="H43" s="114"/>
      <c r="I43" s="112"/>
      <c r="J43" s="110"/>
      <c r="K43" s="110"/>
      <c r="L43" s="110"/>
    </row>
    <row r="44" spans="1:12">
      <c r="A44" s="110"/>
      <c r="B44" s="129"/>
      <c r="C44" s="114"/>
      <c r="D44" s="110"/>
      <c r="E44" s="110"/>
      <c r="F44" s="114"/>
      <c r="G44" s="112"/>
      <c r="H44" s="114"/>
      <c r="I44" s="112"/>
      <c r="J44" s="110"/>
      <c r="K44" s="110"/>
      <c r="L44" s="110"/>
    </row>
    <row r="45" spans="1:12">
      <c r="A45" s="110"/>
      <c r="B45" s="129"/>
      <c r="C45" s="114"/>
      <c r="D45" s="110"/>
      <c r="E45" s="110"/>
      <c r="F45" s="114"/>
      <c r="G45" s="112"/>
      <c r="H45" s="114"/>
      <c r="I45" s="112"/>
      <c r="J45" s="110"/>
      <c r="K45" s="110"/>
      <c r="L45" s="110"/>
    </row>
    <row r="46" spans="1:12">
      <c r="A46" s="110"/>
      <c r="B46" s="129"/>
      <c r="C46" s="114"/>
      <c r="D46" s="110"/>
      <c r="E46" s="110"/>
      <c r="F46" s="114"/>
      <c r="G46" s="112"/>
      <c r="H46" s="114"/>
      <c r="I46" s="112"/>
      <c r="J46" s="110"/>
      <c r="K46" s="110"/>
      <c r="L46" s="110"/>
    </row>
    <row r="47" spans="1:12">
      <c r="A47" s="110"/>
      <c r="B47" s="130"/>
      <c r="C47" s="114"/>
      <c r="D47" s="110"/>
      <c r="E47" s="110"/>
      <c r="F47" s="114"/>
      <c r="G47" s="112"/>
      <c r="H47" s="114"/>
      <c r="I47" s="112"/>
      <c r="J47" s="110"/>
      <c r="K47" s="110"/>
      <c r="L47" s="110"/>
    </row>
    <row r="48" spans="1:12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</row>
    <row r="49" spans="1:12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52"/>
  <sheetViews>
    <sheetView zoomScale="80" zoomScaleNormal="80" workbookViewId="0">
      <selection activeCell="A15" sqref="A15"/>
    </sheetView>
  </sheetViews>
  <sheetFormatPr defaultRowHeight="14.5"/>
  <cols>
    <col min="1" max="1" width="35.26953125" style="21" customWidth="1"/>
    <col min="2" max="2" width="21.453125" customWidth="1"/>
    <col min="3" max="3" width="18.453125" customWidth="1"/>
    <col min="4" max="4" width="20.453125" customWidth="1"/>
    <col min="5" max="5" width="13.1796875" customWidth="1"/>
    <col min="6" max="6" width="17.1796875" customWidth="1"/>
    <col min="7" max="7" width="14" customWidth="1"/>
    <col min="8" max="9" width="14.81640625" customWidth="1"/>
    <col min="10" max="10" width="15.54296875" customWidth="1"/>
    <col min="12" max="12" width="14.54296875" customWidth="1"/>
    <col min="13" max="13" width="16.453125" customWidth="1"/>
  </cols>
  <sheetData>
    <row r="1" spans="1:18">
      <c r="B1" s="106" t="s">
        <v>272</v>
      </c>
      <c r="C1" s="106"/>
      <c r="D1" s="106"/>
      <c r="E1" s="106"/>
      <c r="F1" s="106"/>
      <c r="G1" s="106"/>
      <c r="H1" s="106"/>
      <c r="I1" s="106"/>
      <c r="J1" s="1"/>
    </row>
    <row r="2" spans="1:18" ht="101.5">
      <c r="A2" s="24" t="s">
        <v>35</v>
      </c>
      <c r="B2" t="s">
        <v>0</v>
      </c>
      <c r="C2" s="133" t="s">
        <v>89</v>
      </c>
      <c r="D2" s="117" t="s">
        <v>34</v>
      </c>
      <c r="E2" s="115" t="s">
        <v>267</v>
      </c>
      <c r="F2" s="117" t="s">
        <v>31</v>
      </c>
      <c r="G2" s="108" t="s">
        <v>268</v>
      </c>
      <c r="H2" s="123" t="s">
        <v>269</v>
      </c>
      <c r="I2" s="124" t="s">
        <v>41</v>
      </c>
      <c r="J2" s="117" t="s">
        <v>9</v>
      </c>
      <c r="K2" s="123" t="s">
        <v>40</v>
      </c>
      <c r="L2" s="123" t="s">
        <v>41</v>
      </c>
      <c r="M2" s="117" t="s">
        <v>32</v>
      </c>
      <c r="N2" s="134" t="s">
        <v>76</v>
      </c>
      <c r="O2" s="115" t="s">
        <v>41</v>
      </c>
      <c r="P2" s="117" t="s">
        <v>74</v>
      </c>
      <c r="Q2" s="142" t="s">
        <v>75</v>
      </c>
      <c r="R2" s="123" t="s">
        <v>22</v>
      </c>
    </row>
    <row r="3" spans="1:18">
      <c r="B3" s="102">
        <v>601593.01300000004</v>
      </c>
      <c r="C3" s="161" t="s">
        <v>146</v>
      </c>
      <c r="D3" s="118">
        <v>5.8</v>
      </c>
      <c r="E3" s="118">
        <v>2</v>
      </c>
      <c r="F3" s="102">
        <v>-0.8</v>
      </c>
      <c r="G3" s="120">
        <f>F3-E3</f>
        <v>-2.8</v>
      </c>
      <c r="H3" s="126">
        <f>G3*0.99</f>
        <v>-2.7719999999999998</v>
      </c>
      <c r="I3" s="125">
        <f>$C$15+(H3-G3)</f>
        <v>0.12800000000000003</v>
      </c>
      <c r="J3" s="122">
        <f>E3</f>
        <v>2</v>
      </c>
      <c r="K3" s="127">
        <f>J3*0.99</f>
        <v>1.98</v>
      </c>
      <c r="L3" s="127">
        <f>J3-K3</f>
        <v>2.0000000000000018E-2</v>
      </c>
      <c r="M3" s="119"/>
      <c r="N3" s="128">
        <f>$C$18-$C$21</f>
        <v>-1.3575369042877581</v>
      </c>
      <c r="O3" s="128">
        <f>SQRT(($C$19^2)+($C$22^2))</f>
        <v>0.36055512754639896</v>
      </c>
      <c r="P3" s="128">
        <f>N3-H3</f>
        <v>1.4144630957122417</v>
      </c>
      <c r="Q3" s="125">
        <f>P3/K3</f>
        <v>0.71437530086476853</v>
      </c>
      <c r="R3" s="125">
        <f>Q3*(SQRT(((I3/H3)^2)+((O3/N3)^2)))</f>
        <v>0.19258076263203985</v>
      </c>
    </row>
    <row r="4" spans="1:18">
      <c r="B4" s="102">
        <v>601593.01199999999</v>
      </c>
      <c r="C4" s="161" t="s">
        <v>147</v>
      </c>
      <c r="D4" s="118">
        <v>6.8</v>
      </c>
      <c r="E4" s="102">
        <v>2.2999999999999998</v>
      </c>
      <c r="F4" s="102">
        <v>-0.2</v>
      </c>
      <c r="G4" s="120">
        <f t="shared" ref="G4:G8" si="0">F4-E4</f>
        <v>-2.5</v>
      </c>
      <c r="H4" s="126">
        <f t="shared" ref="H4:H8" si="1">G4*0.99</f>
        <v>-2.4750000000000001</v>
      </c>
      <c r="I4" s="125">
        <f t="shared" ref="I4:I8" si="2">$C$15+(H4-G4)</f>
        <v>0.12499999999999992</v>
      </c>
      <c r="J4" s="122">
        <f t="shared" ref="J4:J8" si="3">E4</f>
        <v>2.2999999999999998</v>
      </c>
      <c r="K4" s="127">
        <f t="shared" ref="K4:K8" si="4">J4*0.99</f>
        <v>2.2769999999999997</v>
      </c>
      <c r="L4" s="127">
        <f t="shared" ref="L4:L8" si="5">J4-K4</f>
        <v>2.3000000000000131E-2</v>
      </c>
      <c r="M4" s="119"/>
      <c r="N4" s="140">
        <f t="shared" ref="N4:N8" si="6">$C$18-$C$21</f>
        <v>-1.3575369042877581</v>
      </c>
      <c r="O4" s="140">
        <f t="shared" ref="O4:O8" si="7">SQRT(($C$19^2)+($C$22^2))</f>
        <v>0.36055512754639896</v>
      </c>
      <c r="P4" s="128">
        <f t="shared" ref="P4:P8" si="8">N4-H4</f>
        <v>1.117463095712242</v>
      </c>
      <c r="Q4" s="125">
        <f t="shared" ref="Q4:Q8" si="9">P4/K4</f>
        <v>0.49076113118675546</v>
      </c>
      <c r="R4" s="125">
        <f t="shared" ref="R4:R8" si="10">Q4*(SQRT(((I4/H4)^2)+((O4/N4)^2)))</f>
        <v>0.13267943746857835</v>
      </c>
    </row>
    <row r="5" spans="1:18">
      <c r="B5" s="102">
        <v>601593.01599999995</v>
      </c>
      <c r="C5" s="161" t="s">
        <v>148</v>
      </c>
      <c r="D5" s="118">
        <v>6.4</v>
      </c>
      <c r="E5" s="102">
        <v>2.8</v>
      </c>
      <c r="F5" s="102">
        <v>-0.1</v>
      </c>
      <c r="G5" s="120">
        <f t="shared" si="0"/>
        <v>-2.9</v>
      </c>
      <c r="H5" s="126">
        <f t="shared" si="1"/>
        <v>-2.871</v>
      </c>
      <c r="I5" s="125">
        <f t="shared" si="2"/>
        <v>0.12899999999999992</v>
      </c>
      <c r="J5" s="122">
        <f t="shared" si="3"/>
        <v>2.8</v>
      </c>
      <c r="K5" s="127">
        <f t="shared" si="4"/>
        <v>2.7719999999999998</v>
      </c>
      <c r="L5" s="127">
        <f t="shared" si="5"/>
        <v>2.8000000000000025E-2</v>
      </c>
      <c r="M5" s="119" t="s">
        <v>19</v>
      </c>
      <c r="N5" s="140">
        <f t="shared" si="6"/>
        <v>-1.3575369042877581</v>
      </c>
      <c r="O5" s="140">
        <f t="shared" si="7"/>
        <v>0.36055512754639896</v>
      </c>
      <c r="P5" s="128">
        <f t="shared" si="8"/>
        <v>1.5134630957122419</v>
      </c>
      <c r="Q5" s="125">
        <f t="shared" si="9"/>
        <v>0.54598235776054904</v>
      </c>
      <c r="R5" s="125">
        <f t="shared" si="10"/>
        <v>0.14707070350295265</v>
      </c>
    </row>
    <row r="6" spans="1:18">
      <c r="B6" s="102">
        <v>601593.01500000001</v>
      </c>
      <c r="C6" s="161" t="s">
        <v>149</v>
      </c>
      <c r="D6" s="118">
        <v>7</v>
      </c>
      <c r="E6" s="102">
        <v>3.5</v>
      </c>
      <c r="F6" s="102">
        <v>0.2</v>
      </c>
      <c r="G6" s="120">
        <f t="shared" si="0"/>
        <v>-3.3</v>
      </c>
      <c r="H6" s="126">
        <f t="shared" si="1"/>
        <v>-3.2669999999999999</v>
      </c>
      <c r="I6" s="125">
        <f t="shared" si="2"/>
        <v>0.13299999999999992</v>
      </c>
      <c r="J6" s="122">
        <f t="shared" si="3"/>
        <v>3.5</v>
      </c>
      <c r="K6" s="127">
        <f t="shared" si="4"/>
        <v>3.4649999999999999</v>
      </c>
      <c r="L6" s="127">
        <f t="shared" si="5"/>
        <v>3.5000000000000142E-2</v>
      </c>
      <c r="M6" s="119"/>
      <c r="N6" s="140">
        <f t="shared" si="6"/>
        <v>-1.3575369042877581</v>
      </c>
      <c r="O6" s="140">
        <f t="shared" si="7"/>
        <v>0.36055512754639896</v>
      </c>
      <c r="P6" s="128">
        <f t="shared" si="8"/>
        <v>1.9094630957122418</v>
      </c>
      <c r="Q6" s="125">
        <f t="shared" si="9"/>
        <v>0.55107160049415349</v>
      </c>
      <c r="R6" s="125">
        <f t="shared" si="10"/>
        <v>0.14807127089209901</v>
      </c>
    </row>
    <row r="7" spans="1:18">
      <c r="B7" s="102">
        <v>601593.01399999997</v>
      </c>
      <c r="C7" s="161" t="s">
        <v>150</v>
      </c>
      <c r="D7" s="118">
        <v>6.5</v>
      </c>
      <c r="E7" s="102">
        <v>3.7</v>
      </c>
      <c r="F7" s="102">
        <v>0.1</v>
      </c>
      <c r="G7" s="120">
        <f t="shared" si="0"/>
        <v>-3.6</v>
      </c>
      <c r="H7" s="126">
        <f t="shared" si="1"/>
        <v>-3.5640000000000001</v>
      </c>
      <c r="I7" s="125">
        <f t="shared" si="2"/>
        <v>0.13600000000000004</v>
      </c>
      <c r="J7" s="122">
        <f t="shared" si="3"/>
        <v>3.7</v>
      </c>
      <c r="K7" s="127">
        <f t="shared" si="4"/>
        <v>3.6630000000000003</v>
      </c>
      <c r="L7" s="127">
        <f t="shared" si="5"/>
        <v>3.6999999999999922E-2</v>
      </c>
      <c r="M7" s="119" t="s">
        <v>20</v>
      </c>
      <c r="N7" s="140">
        <f t="shared" si="6"/>
        <v>-1.3575369042877581</v>
      </c>
      <c r="O7" s="140">
        <f t="shared" si="7"/>
        <v>0.36055512754639896</v>
      </c>
      <c r="P7" s="128">
        <f t="shared" si="8"/>
        <v>2.206463095712242</v>
      </c>
      <c r="Q7" s="125">
        <f t="shared" si="9"/>
        <v>0.60236502749446952</v>
      </c>
      <c r="R7" s="125">
        <f t="shared" si="10"/>
        <v>0.16162800258711316</v>
      </c>
    </row>
    <row r="8" spans="1:18">
      <c r="B8" s="102">
        <v>601593.01100000006</v>
      </c>
      <c r="C8" s="161" t="s">
        <v>151</v>
      </c>
      <c r="D8" s="118">
        <v>9.1999999999999993</v>
      </c>
      <c r="E8" s="118">
        <v>5</v>
      </c>
      <c r="F8" s="102">
        <v>0.5</v>
      </c>
      <c r="G8" s="120">
        <f t="shared" si="0"/>
        <v>-4.5</v>
      </c>
      <c r="H8" s="126">
        <f t="shared" si="1"/>
        <v>-4.4550000000000001</v>
      </c>
      <c r="I8" s="125">
        <f t="shared" si="2"/>
        <v>0.14499999999999993</v>
      </c>
      <c r="J8" s="122">
        <f t="shared" si="3"/>
        <v>5</v>
      </c>
      <c r="K8" s="127">
        <f t="shared" si="4"/>
        <v>4.95</v>
      </c>
      <c r="L8" s="127">
        <f t="shared" si="5"/>
        <v>4.9999999999999822E-2</v>
      </c>
      <c r="M8" s="119"/>
      <c r="N8" s="140">
        <f t="shared" si="6"/>
        <v>-1.3575369042877581</v>
      </c>
      <c r="O8" s="140">
        <f t="shared" si="7"/>
        <v>0.36055512754639896</v>
      </c>
      <c r="P8" s="128">
        <f t="shared" si="8"/>
        <v>3.097463095712242</v>
      </c>
      <c r="Q8" s="125">
        <f t="shared" si="9"/>
        <v>0.62575012034590749</v>
      </c>
      <c r="R8" s="125">
        <f t="shared" si="10"/>
        <v>0.16743943878991796</v>
      </c>
    </row>
    <row r="9" spans="1:18">
      <c r="F9" s="9"/>
      <c r="G9" s="7"/>
      <c r="H9" s="7"/>
      <c r="I9" s="7"/>
      <c r="J9" s="7"/>
      <c r="K9" s="6"/>
      <c r="L9" s="7"/>
      <c r="M9" s="7"/>
      <c r="N9" s="7"/>
      <c r="O9" s="7"/>
      <c r="P9" s="17"/>
    </row>
    <row r="10" spans="1:18" ht="29">
      <c r="B10" s="1" t="s">
        <v>4</v>
      </c>
      <c r="E10" s="6"/>
      <c r="F10" s="6"/>
      <c r="G10" s="4" t="s">
        <v>9</v>
      </c>
      <c r="H10" s="4" t="s">
        <v>265</v>
      </c>
      <c r="I10" s="18"/>
      <c r="J10" s="18"/>
      <c r="K10" s="18"/>
      <c r="L10" s="18"/>
      <c r="M10" s="18"/>
      <c r="N10" s="18"/>
      <c r="O10" s="18"/>
      <c r="P10" s="18"/>
    </row>
    <row r="11" spans="1:18">
      <c r="B11" s="21" t="s">
        <v>37</v>
      </c>
      <c r="C11" s="29">
        <f>AVERAGE(G3:G8)</f>
        <v>-3.2666666666666671</v>
      </c>
      <c r="E11" s="6"/>
      <c r="F11" s="6"/>
      <c r="G11" s="29">
        <f>AVERAGE(J3:J8)</f>
        <v>3.2166666666666668</v>
      </c>
      <c r="H11" s="29">
        <f>STDEV(J3:J8)</f>
        <v>1.0943795807061938</v>
      </c>
      <c r="I11" s="16"/>
      <c r="J11" s="16"/>
      <c r="K11" s="16"/>
      <c r="L11" s="16"/>
      <c r="M11" s="16"/>
      <c r="N11" s="16"/>
      <c r="O11" s="16"/>
      <c r="P11" s="16"/>
    </row>
    <row r="12" spans="1:18" ht="16.5">
      <c r="A12" s="33" t="s">
        <v>82</v>
      </c>
      <c r="B12" s="135" t="s">
        <v>88</v>
      </c>
      <c r="C12" s="31">
        <f>C11*0.99</f>
        <v>-3.2340000000000004</v>
      </c>
      <c r="E12" s="1"/>
      <c r="F12" s="1" t="s">
        <v>23</v>
      </c>
      <c r="G12" s="14">
        <f>G11*0.99</f>
        <v>3.1844999999999999</v>
      </c>
      <c r="H12" s="14">
        <f>H11+(G11-G12)</f>
        <v>1.1265462473728607</v>
      </c>
      <c r="I12" s="9"/>
      <c r="J12" s="9"/>
      <c r="K12" s="9"/>
      <c r="L12" s="9"/>
      <c r="M12" s="9"/>
      <c r="N12" s="9"/>
      <c r="O12" s="9"/>
      <c r="P12" s="9"/>
    </row>
    <row r="13" spans="1:18" s="6" customFormat="1">
      <c r="A13" s="133"/>
      <c r="B13" s="6" t="s">
        <v>26</v>
      </c>
      <c r="C13" s="29">
        <f>STDEV(G3:G8)</f>
        <v>0.71740272279010886</v>
      </c>
      <c r="E13" s="1"/>
      <c r="F13" s="1"/>
      <c r="G13" s="16"/>
      <c r="H13" s="16"/>
      <c r="I13" s="9"/>
      <c r="J13" s="9"/>
      <c r="K13" s="9"/>
      <c r="L13" s="9"/>
      <c r="M13" s="9"/>
      <c r="N13" s="9"/>
      <c r="O13" s="9"/>
      <c r="P13" s="9"/>
    </row>
    <row r="14" spans="1:18">
      <c r="A14" s="133"/>
      <c r="B14" s="6" t="s">
        <v>27</v>
      </c>
      <c r="C14" s="29">
        <f>C11-C12</f>
        <v>-3.2666666666666622E-2</v>
      </c>
    </row>
    <row r="15" spans="1:18">
      <c r="A15" s="23" t="s">
        <v>282</v>
      </c>
      <c r="B15" s="6" t="s">
        <v>28</v>
      </c>
      <c r="C15" s="138">
        <v>0.1</v>
      </c>
    </row>
    <row r="16" spans="1:18" ht="16.5">
      <c r="A16" s="158" t="s">
        <v>83</v>
      </c>
      <c r="B16" s="1" t="s">
        <v>25</v>
      </c>
      <c r="C16" s="31">
        <f>(SQRT(C15^2+C13^2))+ABS(C14)</f>
        <v>0.75700544560002037</v>
      </c>
    </row>
    <row r="17" spans="1:4" s="133" customFormat="1">
      <c r="B17" s="135"/>
      <c r="C17" s="138"/>
    </row>
    <row r="18" spans="1:4" s="133" customFormat="1" ht="16.5">
      <c r="A18" s="33" t="s">
        <v>84</v>
      </c>
      <c r="B18" s="133" t="s">
        <v>61</v>
      </c>
      <c r="C18" s="113">
        <v>-0.4</v>
      </c>
    </row>
    <row r="19" spans="1:4" s="133" customFormat="1">
      <c r="A19" s="23" t="s">
        <v>66</v>
      </c>
      <c r="B19" s="133" t="s">
        <v>41</v>
      </c>
      <c r="C19" s="113">
        <v>0.2</v>
      </c>
    </row>
    <row r="20" spans="1:4" s="21" customFormat="1">
      <c r="A20" s="133"/>
      <c r="B20" s="135"/>
      <c r="C20" s="138"/>
    </row>
    <row r="21" spans="1:4" s="21" customFormat="1">
      <c r="A21" s="33" t="s">
        <v>81</v>
      </c>
      <c r="B21" s="133" t="s">
        <v>70</v>
      </c>
      <c r="C21" s="113">
        <f>0-((-0.6*C24)-0.3)</f>
        <v>0.95753690428775795</v>
      </c>
    </row>
    <row r="22" spans="1:4" s="21" customFormat="1">
      <c r="A22" s="23" t="s">
        <v>67</v>
      </c>
      <c r="B22" s="133" t="s">
        <v>41</v>
      </c>
      <c r="C22" s="113">
        <v>0.3</v>
      </c>
    </row>
    <row r="23" spans="1:4">
      <c r="A23" s="133"/>
    </row>
    <row r="24" spans="1:4">
      <c r="A24" s="33" t="s">
        <v>30</v>
      </c>
      <c r="B24" s="21" t="s">
        <v>36</v>
      </c>
      <c r="C24" s="30">
        <v>1.0958948404795967</v>
      </c>
    </row>
    <row r="25" spans="1:4">
      <c r="A25" s="23" t="s">
        <v>68</v>
      </c>
      <c r="B25" s="21" t="s">
        <v>22</v>
      </c>
      <c r="C25" s="30">
        <v>5.1432617635983779E-2</v>
      </c>
    </row>
    <row r="26" spans="1:4">
      <c r="A26" s="23"/>
    </row>
    <row r="27" spans="1:4">
      <c r="A27" s="23"/>
      <c r="B27" s="141"/>
      <c r="C27" s="139"/>
    </row>
    <row r="28" spans="1:4">
      <c r="A28" s="33" t="s">
        <v>29</v>
      </c>
      <c r="B28" s="111" t="s">
        <v>10</v>
      </c>
      <c r="C28" s="13">
        <f>(C12-C18)+C21</f>
        <v>-1.8764630957122426</v>
      </c>
    </row>
    <row r="29" spans="1:4">
      <c r="A29" s="33"/>
      <c r="B29" s="111" t="s">
        <v>41</v>
      </c>
      <c r="C29" s="13">
        <f>SQRT(C16^2+C19^2+C22^2)</f>
        <v>0.83848508911493791</v>
      </c>
    </row>
    <row r="30" spans="1:4">
      <c r="A30" s="33"/>
      <c r="B30" s="111"/>
      <c r="C30" s="138"/>
    </row>
    <row r="31" spans="1:4">
      <c r="A31" s="33" t="s">
        <v>85</v>
      </c>
      <c r="B31" s="135" t="s">
        <v>11</v>
      </c>
      <c r="C31" s="13">
        <f>C28/C24</f>
        <v>-1.7122656539664385</v>
      </c>
    </row>
    <row r="32" spans="1:4">
      <c r="A32" s="23"/>
      <c r="B32" s="135" t="s">
        <v>69</v>
      </c>
      <c r="C32" s="13">
        <f>ABS(C31*(SQRT((C29/C28)^2)+((C25/C24)^2)))</f>
        <v>0.76888602109378479</v>
      </c>
      <c r="D32" s="9"/>
    </row>
    <row r="33" spans="1:11">
      <c r="A33" s="159"/>
      <c r="B33" s="111"/>
      <c r="C33" s="138"/>
      <c r="D33" s="9"/>
    </row>
    <row r="34" spans="1:11">
      <c r="A34" s="159"/>
      <c r="B34" s="111"/>
      <c r="C34" s="138"/>
      <c r="D34" s="9"/>
    </row>
    <row r="35" spans="1:11">
      <c r="A35" s="159"/>
      <c r="B35" s="111"/>
      <c r="C35" s="138"/>
      <c r="D35" s="9"/>
    </row>
    <row r="36" spans="1:11">
      <c r="A36" s="159"/>
      <c r="B36" s="111"/>
      <c r="C36" s="138"/>
    </row>
    <row r="37" spans="1:11">
      <c r="A37" s="141"/>
      <c r="B37" s="111"/>
      <c r="C37" s="138"/>
      <c r="D37" s="6"/>
      <c r="E37" s="6"/>
      <c r="F37" s="6"/>
      <c r="G37" s="6"/>
      <c r="H37" s="6"/>
      <c r="I37" s="6"/>
    </row>
    <row r="38" spans="1:11">
      <c r="A38" s="141"/>
      <c r="B38" s="141"/>
      <c r="C38" s="141"/>
      <c r="D38" s="6"/>
      <c r="E38" s="6"/>
      <c r="F38" s="6"/>
      <c r="G38" s="6"/>
      <c r="H38" s="6"/>
      <c r="I38" s="6"/>
      <c r="J38" s="6"/>
      <c r="K38" s="6"/>
    </row>
    <row r="39" spans="1:11">
      <c r="A39"/>
    </row>
    <row r="40" spans="1:11">
      <c r="A40"/>
    </row>
    <row r="41" spans="1:11">
      <c r="A41"/>
    </row>
    <row r="42" spans="1:11">
      <c r="A42"/>
    </row>
    <row r="43" spans="1:11">
      <c r="A43"/>
    </row>
    <row r="44" spans="1:11">
      <c r="A44"/>
    </row>
    <row r="45" spans="1:11">
      <c r="A45"/>
    </row>
    <row r="46" spans="1:11">
      <c r="A46"/>
    </row>
    <row r="47" spans="1:11">
      <c r="A47"/>
    </row>
    <row r="48" spans="1:11">
      <c r="A48"/>
    </row>
    <row r="49" spans="1:1">
      <c r="A49"/>
    </row>
    <row r="50" spans="1:1">
      <c r="A50"/>
    </row>
    <row r="51" spans="1:1">
      <c r="A51"/>
    </row>
    <row r="52" spans="1:1">
      <c r="A5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St. Charles</vt:lpstr>
      <vt:lpstr>Raceland</vt:lpstr>
      <vt:lpstr>Larose</vt:lpstr>
      <vt:lpstr>Galliano</vt:lpstr>
      <vt:lpstr>Golden Meadow</vt:lpstr>
      <vt:lpstr>Fourchon</vt:lpstr>
      <vt:lpstr>Bayou Cane</vt:lpstr>
      <vt:lpstr>Dulac</vt:lpstr>
      <vt:lpstr>Chauvin</vt:lpstr>
      <vt:lpstr>Cocodrie</vt:lpstr>
      <vt:lpstr>Paincourtville</vt:lpstr>
      <vt:lpstr>References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Chamberlain</dc:creator>
  <cp:lastModifiedBy>Elizabeth Chamberlain</cp:lastModifiedBy>
  <dcterms:created xsi:type="dcterms:W3CDTF">2014-12-08T21:47:27Z</dcterms:created>
  <dcterms:modified xsi:type="dcterms:W3CDTF">2021-03-05T15:37:44Z</dcterms:modified>
</cp:coreProperties>
</file>